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FINFACTORY2\Downloads\"/>
    </mc:Choice>
  </mc:AlternateContent>
  <xr:revisionPtr revIDLastSave="0" documentId="8_{19054E3C-3352-4CBE-8392-B1379B9B09C5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Калькулятор" sheetId="1" r:id="rId1"/>
    <sheet name="Расчет комиссий" sheetId="2" r:id="rId2"/>
    <sheet name="Ежемесячный график" sheetId="3" r:id="rId3"/>
    <sheet name="Методика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" i="3" l="1"/>
  <c r="C5" i="3"/>
  <c r="D5" i="3" s="1"/>
  <c r="F15" i="2"/>
  <c r="M15" i="2" s="1"/>
  <c r="E15" i="2"/>
  <c r="D15" i="2"/>
  <c r="C15" i="2"/>
  <c r="B15" i="2"/>
  <c r="F14" i="2"/>
  <c r="E14" i="2"/>
  <c r="D14" i="2"/>
  <c r="C14" i="2"/>
  <c r="B14" i="2"/>
  <c r="F13" i="2"/>
  <c r="E13" i="2"/>
  <c r="D13" i="2"/>
  <c r="C13" i="2"/>
  <c r="B13" i="2"/>
  <c r="F12" i="2"/>
  <c r="E12" i="2"/>
  <c r="D12" i="2"/>
  <c r="C12" i="2"/>
  <c r="B12" i="2"/>
  <c r="F11" i="2"/>
  <c r="M11" i="2" s="1"/>
  <c r="E11" i="2"/>
  <c r="D11" i="2"/>
  <c r="C11" i="2"/>
  <c r="B11" i="2"/>
  <c r="G11" i="2" s="1"/>
  <c r="H11" i="2" s="1"/>
  <c r="F10" i="2"/>
  <c r="N10" i="2" s="1"/>
  <c r="E10" i="2"/>
  <c r="D10" i="2"/>
  <c r="C10" i="2"/>
  <c r="B10" i="2"/>
  <c r="F9" i="2"/>
  <c r="E9" i="2"/>
  <c r="D9" i="2"/>
  <c r="C9" i="2"/>
  <c r="B9" i="2"/>
  <c r="F8" i="2"/>
  <c r="E8" i="2"/>
  <c r="D8" i="2"/>
  <c r="C8" i="2"/>
  <c r="B8" i="2"/>
  <c r="G7" i="2"/>
  <c r="H7" i="2" s="1"/>
  <c r="F7" i="2"/>
  <c r="M7" i="2" s="1"/>
  <c r="E7" i="2"/>
  <c r="D7" i="2"/>
  <c r="C7" i="2"/>
  <c r="B7" i="2"/>
  <c r="F6" i="2"/>
  <c r="N6" i="2" s="1"/>
  <c r="E6" i="2"/>
  <c r="D6" i="2"/>
  <c r="C6" i="2"/>
  <c r="B6" i="2"/>
  <c r="F5" i="2"/>
  <c r="L5" i="2" s="1"/>
  <c r="E5" i="2"/>
  <c r="C5" i="2"/>
  <c r="B8" i="1"/>
  <c r="H6" i="1"/>
  <c r="M10" i="2" l="1"/>
  <c r="G5" i="2"/>
  <c r="M6" i="2"/>
  <c r="H5" i="2"/>
  <c r="G8" i="2"/>
  <c r="H8" i="2" s="1"/>
  <c r="K8" i="2" s="1"/>
  <c r="G12" i="2"/>
  <c r="H12" i="2" s="1"/>
  <c r="K12" i="2" s="1"/>
  <c r="K7" i="2"/>
  <c r="I7" i="2"/>
  <c r="J7" i="2" s="1"/>
  <c r="L7" i="2" s="1"/>
  <c r="I5" i="2"/>
  <c r="J5" i="2" s="1"/>
  <c r="K5" i="2"/>
  <c r="K11" i="2"/>
  <c r="I11" i="2"/>
  <c r="J11" i="2" s="1"/>
  <c r="L11" i="2" s="1"/>
  <c r="I8" i="2"/>
  <c r="O8" i="2" s="1"/>
  <c r="J8" i="2"/>
  <c r="L8" i="2" s="1"/>
  <c r="N7" i="2"/>
  <c r="N15" i="2"/>
  <c r="B6" i="3"/>
  <c r="D6" i="3" s="1"/>
  <c r="M14" i="2"/>
  <c r="G15" i="2"/>
  <c r="H15" i="2" s="1"/>
  <c r="N14" i="2"/>
  <c r="H9" i="1"/>
  <c r="G6" i="2"/>
  <c r="M9" i="2"/>
  <c r="G10" i="2"/>
  <c r="H10" i="2" s="1"/>
  <c r="M13" i="2"/>
  <c r="G14" i="2"/>
  <c r="H14" i="2" s="1"/>
  <c r="N5" i="2"/>
  <c r="N9" i="2"/>
  <c r="N13" i="2"/>
  <c r="N11" i="2"/>
  <c r="M8" i="2"/>
  <c r="G9" i="2"/>
  <c r="H9" i="2" s="1"/>
  <c r="M12" i="2"/>
  <c r="G13" i="2"/>
  <c r="H13" i="2" s="1"/>
  <c r="N8" i="2"/>
  <c r="N12" i="2"/>
  <c r="O7" i="2"/>
  <c r="O11" i="2" l="1"/>
  <c r="O5" i="2"/>
  <c r="I12" i="2"/>
  <c r="J12" i="2" s="1"/>
  <c r="L12" i="2" s="1"/>
  <c r="G17" i="2"/>
  <c r="H6" i="2"/>
  <c r="I6" i="2" s="1"/>
  <c r="O12" i="2"/>
  <c r="K10" i="2"/>
  <c r="I10" i="2"/>
  <c r="O10" i="2" s="1"/>
  <c r="K15" i="2"/>
  <c r="I15" i="2"/>
  <c r="O15" i="2" s="1"/>
  <c r="K14" i="2"/>
  <c r="I14" i="2"/>
  <c r="O14" i="2" s="1"/>
  <c r="I13" i="2"/>
  <c r="O13" i="2" s="1"/>
  <c r="K13" i="2"/>
  <c r="N17" i="2"/>
  <c r="M5" i="2"/>
  <c r="M17" i="2" s="1"/>
  <c r="F6" i="3" s="1"/>
  <c r="I9" i="2"/>
  <c r="O9" i="2" s="1"/>
  <c r="K9" i="2"/>
  <c r="K6" i="2" l="1"/>
  <c r="K17" i="2" s="1"/>
  <c r="H17" i="2"/>
  <c r="H12" i="1" s="1"/>
  <c r="J9" i="2"/>
  <c r="L9" i="2" s="1"/>
  <c r="O6" i="2"/>
  <c r="O17" i="2" s="1"/>
  <c r="J6" i="2"/>
  <c r="L6" i="2" s="1"/>
  <c r="J14" i="2"/>
  <c r="L14" i="2" s="1"/>
  <c r="I17" i="2"/>
  <c r="H13" i="1" s="1"/>
  <c r="J10" i="2"/>
  <c r="L10" i="2" s="1"/>
  <c r="J15" i="2"/>
  <c r="L15" i="2" s="1"/>
  <c r="J13" i="2"/>
  <c r="L13" i="2" s="1"/>
  <c r="L17" i="2" l="1"/>
  <c r="E5" i="3" s="1"/>
  <c r="G5" i="3" s="1"/>
  <c r="H5" i="3" s="1"/>
  <c r="J17" i="2"/>
  <c r="H14" i="1" s="1"/>
  <c r="H10" i="1" l="1"/>
  <c r="E6" i="3"/>
  <c r="G6" i="3" s="1"/>
  <c r="H6" i="3" s="1"/>
  <c r="H55" i="3" s="1"/>
  <c r="H11" i="1" s="1"/>
  <c r="H7" i="1" l="1"/>
  <c r="H8" i="1" s="1"/>
  <c r="H15" i="1"/>
</calcChain>
</file>

<file path=xl/sharedStrings.xml><?xml version="1.0" encoding="utf-8"?>
<sst xmlns="http://schemas.openxmlformats.org/spreadsheetml/2006/main" count="160" uniqueCount="111">
  <si>
    <t>FinFactory — калькулятор эффективной ставки</t>
  </si>
  <si>
    <t>Расчет учитывает базовую ставку и дополнительные комиссии с разными базами и способами удержания.</t>
  </si>
  <si>
    <t>1. Параметры сделки</t>
  </si>
  <si>
    <t>Результат</t>
  </si>
  <si>
    <t>Сумма уступки, ₽</t>
  </si>
  <si>
    <t>Ввод пользователя</t>
  </si>
  <si>
    <t>Базовая ставка</t>
  </si>
  <si>
    <t>Коэффициент первого платежа, %</t>
  </si>
  <si>
    <t>Эффективная ставка</t>
  </si>
  <si>
    <t>Сумма финансирования, ₽</t>
  </si>
  <si>
    <t>Рассчитывается автоматически</t>
  </si>
  <si>
    <t>Разница, п.п.</t>
  </si>
  <si>
    <t>Срок финансирования, календарных дней</t>
  </si>
  <si>
    <t>НДС по комиссиям, %</t>
  </si>
  <si>
    <t>Единый параметр для всех комиссий</t>
  </si>
  <si>
    <t>Получено в начале, ₽</t>
  </si>
  <si>
    <t>Средняя сумма в распоряжении, ₽</t>
  </si>
  <si>
    <t>2. Основная комиссия</t>
  </si>
  <si>
    <t>Стоимость без НДС, ₽</t>
  </si>
  <si>
    <t>Базовая ставка, % годовых</t>
  </si>
  <si>
    <t>Всегда годовая ставка</t>
  </si>
  <si>
    <t>НДС по договору, ₽</t>
  </si>
  <si>
    <t>База начисления</t>
  </si>
  <si>
    <t>Сумма финансирования</t>
  </si>
  <si>
    <t>Сумма финансирования / Сумма уступки</t>
  </si>
  <si>
    <t>Общие расходы с НДС, ₽</t>
  </si>
  <si>
    <t>Способ удержания</t>
  </si>
  <si>
    <t>Ежемесячно</t>
  </si>
  <si>
    <t>Авансом / Ежемесячно / Из второго платежа</t>
  </si>
  <si>
    <t>Статус расчета</t>
  </si>
  <si>
    <t>Пояснение</t>
  </si>
  <si>
    <t>3. Дополнительные комиссии</t>
  </si>
  <si>
    <t>Наименование</t>
  </si>
  <si>
    <t>Размер</t>
  </si>
  <si>
    <t>Вид комиссии</t>
  </si>
  <si>
    <t>Комиссия 1</t>
  </si>
  <si>
    <t>% от суммы</t>
  </si>
  <si>
    <t>Авансом</t>
  </si>
  <si>
    <t>Комиссия 2</t>
  </si>
  <si>
    <t>Комиссия 3</t>
  </si>
  <si>
    <t>Комиссия 4</t>
  </si>
  <si>
    <t>Комиссия 5</t>
  </si>
  <si>
    <t>Комиссия 6</t>
  </si>
  <si>
    <t>Комиссия 7</t>
  </si>
  <si>
    <t>Комиссия 8</t>
  </si>
  <si>
    <t>Комиссия 9</t>
  </si>
  <si>
    <t>Комиссия 10</t>
  </si>
  <si>
    <t>Расчет основной и дополнительных комиссий</t>
  </si>
  <si>
    <t>Тип</t>
  </si>
  <si>
    <t>Вид</t>
  </si>
  <si>
    <t>База</t>
  </si>
  <si>
    <t>Удержание</t>
  </si>
  <si>
    <t>База, ₽</t>
  </si>
  <si>
    <t>Комиссия без НДС, ₽</t>
  </si>
  <si>
    <t>НДС, ₽</t>
  </si>
  <si>
    <t>Итого с НДС, ₽</t>
  </si>
  <si>
    <t>Вклад в числитель, ₽</t>
  </si>
  <si>
    <t>Авансом с НДС, ₽</t>
  </si>
  <si>
    <t>Ежемесячно с НДС, ₽</t>
  </si>
  <si>
    <t>Из второго платежа с НДС, ₽</t>
  </si>
  <si>
    <t>НДС, уменьшающий доступную сумму, ₽</t>
  </si>
  <si>
    <t>Основная</t>
  </si>
  <si>
    <t>Основная комиссия</t>
  </si>
  <si>
    <t>% годовых</t>
  </si>
  <si>
    <t>Дополнительная</t>
  </si>
  <si>
    <t>Итого</t>
  </si>
  <si>
    <t>Ежемесячный график удержаний — шаг 30 дней</t>
  </si>
  <si>
    <t>Период</t>
  </si>
  <si>
    <t>Начало, день</t>
  </si>
  <si>
    <t>Конец, день</t>
  </si>
  <si>
    <t>Дней</t>
  </si>
  <si>
    <t>Сумма до удержания, ₽</t>
  </si>
  <si>
    <t>Ежемесячное удержание с НДС, ₽</t>
  </si>
  <si>
    <t>Сумма в распоряжении, ₽</t>
  </si>
  <si>
    <t>Сумма × дни</t>
  </si>
  <si>
    <t>Средневзвешенная по дням сумма в распоряжении клиента</t>
  </si>
  <si>
    <t>Методика FinFactory — базовая и дополнительные комиссии</t>
  </si>
  <si>
    <t>№</t>
  </si>
  <si>
    <t>Правило</t>
  </si>
  <si>
    <t>Описание</t>
  </si>
  <si>
    <t>1</t>
  </si>
  <si>
    <t>Сумма уступки × коэффициент первого платежа.</t>
  </si>
  <si>
    <t>2</t>
  </si>
  <si>
    <t>Всегда задается в % годовых и начисляется на выбранную базу.</t>
  </si>
  <si>
    <t>3</t>
  </si>
  <si>
    <t>Дополнительная комиссия</t>
  </si>
  <si>
    <t>Может быть задана в % годовых или в % от выбранной базы.</t>
  </si>
  <si>
    <t>4</t>
  </si>
  <si>
    <t>Комиссия и НДС входят в стоимость для эффективной ставки и уменьшают сумму в распоряжении с первого дня.</t>
  </si>
  <si>
    <t>5</t>
  </si>
  <si>
    <t>Комиссия и НДС удерживаются равными частями в начале каждого 30-дневного периода. В числителе учитывается комиссия без НДС; НДС уменьшает доступную сумму.</t>
  </si>
  <si>
    <t>6</t>
  </si>
  <si>
    <t>Из второго платежа</t>
  </si>
  <si>
    <t>В числителе учитывается комиссия без НДС. НДС отражается в общих расходах, но не влияет на эффективную ставку.</t>
  </si>
  <si>
    <t>7</t>
  </si>
  <si>
    <t>Суммарный вклад комиссий в числитель ÷ средневзвешенная сумма в распоряжении × 365 ÷ срок.</t>
  </si>
  <si>
    <t>8</t>
  </si>
  <si>
    <t>Средний момент ежемесячного удержания</t>
  </si>
  <si>
    <t>Для расчета принимается условный средний момент удержания — 15-й день финансирования.</t>
  </si>
  <si>
    <t>9</t>
  </si>
  <si>
    <t>Средняя сумма в распоряжении</t>
  </si>
  <si>
    <t>Первые MIN(15; срок) дней используется сумма после авансовых удержаний; оставшийся срок — сумма после вычета всей ежемесячной комиссии с НДС.</t>
  </si>
  <si>
    <t>10</t>
  </si>
  <si>
    <t>Комиссии % годовых</t>
  </si>
  <si>
    <t>Рассчитываются пропорционально фактическому сроку финансирования.</t>
  </si>
  <si>
    <t>11</t>
  </si>
  <si>
    <t>Комиссии % от суммы</t>
  </si>
  <si>
    <t>Рассчитываются один раз от выбранной базы. Способ удержания меняет момент списания, но не размер комиссии.</t>
  </si>
  <si>
    <t>12</t>
  </si>
  <si>
    <t>НДС и второй платеж</t>
  </si>
  <si>
    <t>НДС не входит в числитель эффективной ставки. Комиссия из второго платежа участвует без НДС в стоимости, но не уменьшает сумму в распоряжении в течение срока.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</si>
</sst>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;\-"/>
    <numFmt numFmtId="165" formatCode="0.00%;[Red]\(0.00%\);\-"/>
  </numFmts>
  <fonts count="18">
    <font>
      <sz val="10"/>
      <name val="Arial"/>
      <family val="2"/>
      <charset val="1"/>
    </font>
    <font>
      <b/>
      <sz val="11"/>
      <name val="Calibri"/>
      <charset val="1"/>
    </font>
    <font>
      <sz val="11"/>
      <name val="Calibri"/>
      <charset val="1"/>
    </font>
    <font>
      <b/>
      <sz val="16"/>
      <color rgb="FFFFFFFF"/>
      <name val="Calibri"/>
      <charset val="1"/>
    </font>
    <font>
      <sz val="11"/>
      <color rgb="FF008000"/>
      <name val="Calibri"/>
      <charset val="1"/>
    </font>
    <font>
      <sz val="11"/>
      <name val="Carlito"/>
    </font>
    <font>
      <b/>
      <sz val="17"/>
      <color rgb="FFFFFFFF"/>
      <name val="Carlito"/>
      <charset val="204"/>
    </font>
    <font>
      <i/>
      <sz val="11"/>
      <color rgb="FF172033"/>
      <name val="Carlito"/>
      <charset val="204"/>
    </font>
    <font>
      <sz val="10"/>
      <name val="Carlito"/>
      <charset val="204"/>
    </font>
    <font>
      <b/>
      <sz val="14"/>
      <color rgb="FFFFFFFF"/>
      <name val="Carlito"/>
      <charset val="204"/>
    </font>
    <font>
      <b/>
      <sz val="11"/>
      <color rgb="FFFFFFFF"/>
      <name val="Carlito"/>
      <charset val="204"/>
    </font>
    <font>
      <b/>
      <sz val="11"/>
      <color rgb="FF172033"/>
      <name val="Carlito"/>
      <charset val="204"/>
    </font>
    <font>
      <sz val="11"/>
      <color rgb="FF0000FF"/>
      <name val="Carlito"/>
      <charset val="204"/>
    </font>
    <font>
      <sz val="9"/>
      <color rgb="FF5E6B7A"/>
      <name val="Carlito"/>
      <charset val="204"/>
    </font>
    <font>
      <b/>
      <sz val="11"/>
      <name val="Carlito"/>
      <charset val="204"/>
    </font>
    <font>
      <b/>
      <sz val="14"/>
      <name val="Carlito"/>
      <charset val="204"/>
    </font>
    <font>
      <b/>
      <sz val="11"/>
      <color rgb="FF008000"/>
      <name val="Carlito"/>
      <charset val="204"/>
    </font>
    <font>
      <b/>
      <sz val="12"/>
      <color rgb="FFFFFFFF"/>
      <name val="Carlito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5B96"/>
        <bgColor rgb="FF1F4E79"/>
      </patternFill>
    </fill>
    <fill>
      <patternFill patternType="solid">
        <fgColor rgb="FFEAF4FB"/>
        <bgColor rgb="FFE8F4FD"/>
      </patternFill>
    </fill>
    <fill>
      <patternFill patternType="solid">
        <fgColor rgb="FFFFF2CC"/>
        <bgColor rgb="FFFFF9E6"/>
      </patternFill>
    </fill>
    <fill>
      <patternFill patternType="solid">
        <fgColor rgb="FFEEF0F3"/>
        <bgColor rgb="FFEAF4FB"/>
      </patternFill>
    </fill>
    <fill>
      <patternFill patternType="solid">
        <fgColor rgb="FFE8F5E9"/>
        <bgColor rgb="FFEEF0F3"/>
      </patternFill>
    </fill>
    <fill>
      <patternFill patternType="solid">
        <fgColor rgb="FF005B96"/>
      </patternFill>
    </fill>
    <fill>
      <patternFill patternType="solid">
        <fgColor rgb="FFE8F5E9"/>
      </patternFill>
    </fill>
    <fill>
      <patternFill patternType="solid">
        <fgColor rgb="FFFFF4D6"/>
      </patternFill>
    </fill>
    <fill>
      <patternFill patternType="solid">
        <fgColor rgb="FFEAF4FB"/>
      </patternFill>
    </fill>
    <fill>
      <patternFill patternType="solid">
        <fgColor rgb="FFFAFBFC"/>
      </patternFill>
    </fill>
    <fill>
      <patternFill patternType="solid">
        <fgColor rgb="FFFFF2CC"/>
      </patternFill>
    </fill>
    <fill>
      <patternFill patternType="solid">
        <fgColor rgb="FFEEF0F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0" xfId="0" applyAlignment="1"/>
    <xf numFmtId="0" fontId="1" fillId="5" borderId="0" xfId="0" applyFont="1" applyFill="1" applyAlignment="1">
      <alignment horizontal="center" wrapText="1"/>
    </xf>
    <xf numFmtId="0" fontId="2" fillId="0" borderId="0" xfId="0" applyFont="1" applyAlignment="1"/>
    <xf numFmtId="0" fontId="4" fillId="0" borderId="0" xfId="0" applyFont="1" applyAlignment="1"/>
    <xf numFmtId="165" fontId="4" fillId="0" borderId="0" xfId="0" applyNumberFormat="1" applyFont="1" applyAlignment="1"/>
    <xf numFmtId="164" fontId="2" fillId="0" borderId="0" xfId="0" applyNumberFormat="1" applyFont="1" applyAlignment="1"/>
    <xf numFmtId="164" fontId="1" fillId="6" borderId="0" xfId="0" applyNumberFormat="1" applyFont="1" applyFill="1" applyAlignment="1"/>
    <xf numFmtId="1" fontId="2" fillId="0" borderId="0" xfId="0" applyNumberFormat="1" applyFont="1" applyAlignment="1"/>
    <xf numFmtId="0" fontId="1" fillId="5" borderId="0" xfId="0" applyFont="1" applyFill="1" applyAlignment="1"/>
    <xf numFmtId="0" fontId="2" fillId="0" borderId="0" xfId="0" applyFont="1" applyAlignment="1">
      <alignment vertical="top" wrapText="1"/>
    </xf>
    <xf numFmtId="0" fontId="8" fillId="0" borderId="0" xfId="0" applyFont="1" applyAlignment="1"/>
    <xf numFmtId="0" fontId="11" fillId="0" borderId="0" xfId="0" applyFont="1" applyAlignment="1"/>
    <xf numFmtId="164" fontId="12" fillId="4" borderId="0" xfId="0" applyNumberFormat="1" applyFont="1" applyFill="1" applyAlignment="1"/>
    <xf numFmtId="0" fontId="13" fillId="0" borderId="0" xfId="0" applyFont="1" applyAlignment="1">
      <alignment wrapText="1"/>
    </xf>
    <xf numFmtId="0" fontId="14" fillId="0" borderId="0" xfId="1" applyFont="1"/>
    <xf numFmtId="165" fontId="8" fillId="0" borderId="0" xfId="1" applyNumberFormat="1" applyFont="1"/>
    <xf numFmtId="165" fontId="12" fillId="4" borderId="0" xfId="0" applyNumberFormat="1" applyFont="1" applyFill="1" applyAlignment="1"/>
    <xf numFmtId="0" fontId="15" fillId="8" borderId="0" xfId="1" applyFont="1" applyFill="1"/>
    <xf numFmtId="165" fontId="15" fillId="8" borderId="0" xfId="1" applyNumberFormat="1" applyFont="1" applyFill="1" applyAlignment="1">
      <alignment wrapText="1"/>
    </xf>
    <xf numFmtId="164" fontId="16" fillId="5" borderId="0" xfId="0" applyNumberFormat="1" applyFont="1" applyFill="1" applyAlignment="1"/>
    <xf numFmtId="2" fontId="8" fillId="0" borderId="0" xfId="1" applyNumberFormat="1" applyFont="1"/>
    <xf numFmtId="1" fontId="12" fillId="4" borderId="0" xfId="0" applyNumberFormat="1" applyFont="1" applyFill="1" applyAlignment="1"/>
    <xf numFmtId="164" fontId="8" fillId="0" borderId="0" xfId="1" applyNumberFormat="1" applyFont="1"/>
    <xf numFmtId="0" fontId="12" fillId="4" borderId="0" xfId="0" applyFont="1" applyFill="1" applyAlignment="1"/>
    <xf numFmtId="0" fontId="11" fillId="9" borderId="0" xfId="1" applyFont="1" applyFill="1"/>
    <xf numFmtId="0" fontId="9" fillId="2" borderId="0" xfId="0" applyFont="1" applyFill="1" applyBorder="1" applyAlignment="1">
      <alignment horizontal="left" vertical="center"/>
    </xf>
    <xf numFmtId="0" fontId="11" fillId="13" borderId="0" xfId="1" applyFont="1" applyFill="1" applyAlignment="1">
      <alignment horizontal="center" wrapText="1"/>
    </xf>
    <xf numFmtId="0" fontId="8" fillId="11" borderId="0" xfId="1" applyFont="1" applyFill="1"/>
    <xf numFmtId="165" fontId="12" fillId="12" borderId="0" xfId="1" applyNumberFormat="1" applyFont="1" applyFill="1"/>
    <xf numFmtId="0" fontId="12" fillId="12" borderId="0" xfId="1" applyFont="1" applyFill="1"/>
    <xf numFmtId="0" fontId="11" fillId="10" borderId="0" xfId="1" applyFont="1" applyFill="1"/>
    <xf numFmtId="0" fontId="17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wrapText="1"/>
    </xf>
    <xf numFmtId="0" fontId="10" fillId="7" borderId="0" xfId="1" applyFont="1" applyFill="1"/>
    <xf numFmtId="0" fontId="3" fillId="2" borderId="0" xfId="0" applyFont="1" applyFill="1" applyBorder="1" applyAlignment="1">
      <alignment vertical="center"/>
    </xf>
    <xf numFmtId="0" fontId="1" fillId="6" borderId="0" xfId="0" applyFont="1" applyFill="1" applyBorder="1" applyAlignment="1"/>
  </cellXfs>
  <cellStyles count="2">
    <cellStyle name="Normal" xfId="1" xr:uid="{E22BE28D-449E-4782-8027-D8C1F4F50239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75B6"/>
      <rgbColor rgb="FFB4B4B4"/>
      <rgbColor rgb="FF808080"/>
      <rgbColor rgb="FF9999FF"/>
      <rgbColor rgb="FF993366"/>
      <rgbColor rgb="FFFFF9E6"/>
      <rgbColor rgb="FFE8F4FD"/>
      <rgbColor rgb="FF660066"/>
      <rgbColor rgb="FFFF8080"/>
      <rgbColor rgb="FF005B96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4FB"/>
      <rgbColor rgb="FFE2EFDA"/>
      <rgbColor rgb="FFFFF2CC"/>
      <rgbColor rgb="FFDEEAF6"/>
      <rgbColor rgb="FFE8F5E9"/>
      <rgbColor rgb="FFFAFBFC"/>
      <rgbColor rgb="FFEEF0F3"/>
      <rgbColor rgb="FF4472C4"/>
      <rgbColor rgb="FF33CCCC"/>
      <rgbColor rgb="FF99CC00"/>
      <rgbColor rgb="FFFFCC00"/>
      <rgbColor rgb="FFFF9900"/>
      <rgbColor rgb="FFFF6600"/>
      <rgbColor rgb="FF5E6B7A"/>
      <rgbColor rgb="FF969696"/>
      <rgbColor rgb="FF172033"/>
      <rgbColor rgb="FF339966"/>
      <rgbColor rgb="FF003300"/>
      <rgbColor rgb="FF333300"/>
      <rgbColor rgb="FF993300"/>
      <rgbColor rgb="FF993366"/>
      <rgbColor rgb="FF1F4E7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3" zoomScale="80" zoomScaleNormal="80" workbookViewId="0">
      <selection activeCell="B8" sqref="B8"/>
    </sheetView>
  </sheetViews>
  <sheetFormatPr defaultColWidth="8.6640625" defaultRowHeight="13.2"/>
  <cols>
    <col min="1" max="1" width="34.6640625" style="1" customWidth="1"/>
    <col min="2" max="2" width="27.44140625" style="1" customWidth="1"/>
    <col min="3" max="3" width="29.44140625" style="1" customWidth="1"/>
    <col min="4" max="4" width="34.5546875" style="1" customWidth="1"/>
    <col min="5" max="5" width="38.88671875" style="1" customWidth="1"/>
    <col min="6" max="6" width="2" style="1" customWidth="1"/>
    <col min="7" max="7" width="38" style="1" customWidth="1"/>
    <col min="8" max="8" width="35" style="1" customWidth="1"/>
  </cols>
  <sheetData>
    <row r="1" spans="1:8" ht="15" customHeight="1">
      <c r="A1" s="33" t="s">
        <v>0</v>
      </c>
      <c r="B1" s="33"/>
      <c r="C1" s="33"/>
      <c r="D1" s="33"/>
      <c r="E1" s="33"/>
      <c r="F1" s="33"/>
      <c r="G1" s="33"/>
      <c r="H1" s="33"/>
    </row>
    <row r="2" spans="1:8" ht="15" customHeight="1">
      <c r="A2" s="33"/>
      <c r="B2" s="33"/>
      <c r="C2" s="33"/>
      <c r="D2" s="33"/>
      <c r="E2" s="33"/>
      <c r="F2" s="33"/>
      <c r="G2" s="33"/>
      <c r="H2" s="33"/>
    </row>
    <row r="3" spans="1:8" ht="15" customHeight="1">
      <c r="A3" s="34" t="s">
        <v>1</v>
      </c>
      <c r="B3" s="34"/>
      <c r="C3" s="34"/>
      <c r="D3" s="34"/>
      <c r="E3" s="34"/>
      <c r="F3" s="34"/>
      <c r="G3" s="34"/>
      <c r="H3" s="34"/>
    </row>
    <row r="4" spans="1:8">
      <c r="A4" s="11"/>
      <c r="B4" s="11"/>
      <c r="C4" s="11"/>
      <c r="D4" s="11"/>
      <c r="E4" s="11"/>
      <c r="F4" s="11"/>
      <c r="G4" s="11"/>
      <c r="H4" s="11"/>
    </row>
    <row r="5" spans="1:8" ht="15" customHeight="1">
      <c r="A5" s="32" t="s">
        <v>2</v>
      </c>
      <c r="B5" s="32"/>
      <c r="C5" s="32"/>
      <c r="D5" s="32"/>
      <c r="E5" s="11"/>
      <c r="F5" s="11"/>
      <c r="G5" s="35" t="s">
        <v>3</v>
      </c>
      <c r="H5" s="35"/>
    </row>
    <row r="6" spans="1:8" ht="15" customHeight="1">
      <c r="A6" s="12" t="s">
        <v>4</v>
      </c>
      <c r="B6" s="13">
        <v>1000000</v>
      </c>
      <c r="C6" s="14" t="s">
        <v>5</v>
      </c>
      <c r="D6" s="11"/>
      <c r="E6" s="11"/>
      <c r="F6" s="11"/>
      <c r="G6" s="15" t="s">
        <v>6</v>
      </c>
      <c r="H6" s="16">
        <f>B13</f>
        <v>0.17249999999999999</v>
      </c>
    </row>
    <row r="7" spans="1:8" ht="33.75" customHeight="1">
      <c r="A7" s="12" t="s">
        <v>7</v>
      </c>
      <c r="B7" s="17">
        <v>0.9</v>
      </c>
      <c r="C7" s="14" t="s">
        <v>5</v>
      </c>
      <c r="D7" s="11"/>
      <c r="E7" s="11"/>
      <c r="F7" s="11"/>
      <c r="G7" s="18" t="s">
        <v>8</v>
      </c>
      <c r="H7" s="19">
        <f>IF(OR(B9&lt;=0,'Ежемесячный график'!G5&lt;=0,'Ежемесячный график'!G6&lt;=0,'Ежемесячный график'!H55&lt;=0),"Расчет невозможен: удержания превышают сумму финансирования",'Расчет комиссий'!K17/'Ежемесячный график'!H55*365/B9)</f>
        <v>0.17709488446466151</v>
      </c>
    </row>
    <row r="8" spans="1:8" ht="21.75" customHeight="1">
      <c r="A8" s="12" t="s">
        <v>9</v>
      </c>
      <c r="B8" s="20">
        <f>B6*B7</f>
        <v>900000</v>
      </c>
      <c r="C8" s="14" t="s">
        <v>10</v>
      </c>
      <c r="D8" s="11"/>
      <c r="E8" s="11"/>
      <c r="F8" s="11"/>
      <c r="G8" s="15" t="s">
        <v>11</v>
      </c>
      <c r="H8" s="21">
        <f>IF(ISNUMBER(H7),(H7-H6)*100,"-")</f>
        <v>0.4594884464661525</v>
      </c>
    </row>
    <row r="9" spans="1:8" ht="15" customHeight="1">
      <c r="A9" s="12" t="s">
        <v>12</v>
      </c>
      <c r="B9" s="22">
        <v>60</v>
      </c>
      <c r="C9" s="14" t="s">
        <v>5</v>
      </c>
      <c r="D9" s="11"/>
      <c r="E9" s="11"/>
      <c r="F9" s="11"/>
      <c r="G9" s="15" t="s">
        <v>9</v>
      </c>
      <c r="H9" s="23">
        <f>B8</f>
        <v>900000</v>
      </c>
    </row>
    <row r="10" spans="1:8" ht="21.75" customHeight="1">
      <c r="A10" s="12" t="s">
        <v>13</v>
      </c>
      <c r="B10" s="17">
        <v>0.22</v>
      </c>
      <c r="C10" s="14" t="s">
        <v>14</v>
      </c>
      <c r="D10" s="11"/>
      <c r="E10" s="11"/>
      <c r="F10" s="11"/>
      <c r="G10" s="15" t="s">
        <v>15</v>
      </c>
      <c r="H10" s="23">
        <f>'Ежемесячный график'!G5</f>
        <v>900000</v>
      </c>
    </row>
    <row r="11" spans="1:8" ht="15" customHeight="1">
      <c r="A11" s="11"/>
      <c r="B11" s="11"/>
      <c r="C11" s="11"/>
      <c r="D11" s="11"/>
      <c r="E11" s="11"/>
      <c r="F11" s="11"/>
      <c r="G11" s="15" t="s">
        <v>16</v>
      </c>
      <c r="H11" s="23">
        <f>'Ежемесячный график'!H55</f>
        <v>876648.69863013702</v>
      </c>
    </row>
    <row r="12" spans="1:8" ht="15" customHeight="1">
      <c r="A12" s="32" t="s">
        <v>17</v>
      </c>
      <c r="B12" s="32"/>
      <c r="C12" s="32"/>
      <c r="D12" s="32"/>
      <c r="E12" s="11"/>
      <c r="F12" s="11"/>
      <c r="G12" s="15" t="s">
        <v>18</v>
      </c>
      <c r="H12" s="23">
        <f>'Расчет комиссий'!H17</f>
        <v>25520.547945205479</v>
      </c>
    </row>
    <row r="13" spans="1:8" ht="15" customHeight="1">
      <c r="A13" s="12" t="s">
        <v>19</v>
      </c>
      <c r="B13" s="17">
        <v>0.17249999999999999</v>
      </c>
      <c r="C13" s="14" t="s">
        <v>20</v>
      </c>
      <c r="D13" s="11"/>
      <c r="E13" s="11"/>
      <c r="F13" s="11"/>
      <c r="G13" s="15" t="s">
        <v>21</v>
      </c>
      <c r="H13" s="23">
        <f>'Расчет комиссий'!I17</f>
        <v>5614.5205479452052</v>
      </c>
    </row>
    <row r="14" spans="1:8" ht="21.75" customHeight="1">
      <c r="A14" s="12" t="s">
        <v>22</v>
      </c>
      <c r="B14" s="24" t="s">
        <v>23</v>
      </c>
      <c r="C14" s="14" t="s">
        <v>24</v>
      </c>
      <c r="D14" s="11"/>
      <c r="E14" s="11"/>
      <c r="F14" s="11"/>
      <c r="G14" s="15" t="s">
        <v>25</v>
      </c>
      <c r="H14" s="23">
        <f>'Расчет комиссий'!J17</f>
        <v>31135.068493150684</v>
      </c>
    </row>
    <row r="15" spans="1:8" ht="21.75" customHeight="1">
      <c r="A15" s="12" t="s">
        <v>26</v>
      </c>
      <c r="B15" s="24" t="s">
        <v>27</v>
      </c>
      <c r="C15" s="14" t="s">
        <v>28</v>
      </c>
      <c r="D15" s="11"/>
      <c r="E15" s="11"/>
      <c r="F15" s="11"/>
      <c r="G15" s="25" t="s">
        <v>29</v>
      </c>
      <c r="H15" s="25" t="str">
        <f>IF(OR(B9&lt;=0,'Ежемесячный график'!G5&lt;=0,'Ежемесячный график'!G6&lt;=0,'Ежемесячный график'!H55&lt;=0),"Проверьте условия: удержания исчерпывают финансирование","Расчет выполнен")</f>
        <v>Расчет выполнен</v>
      </c>
    </row>
    <row r="16" spans="1:8" ht="15" customHeight="1">
      <c r="A16" s="11"/>
      <c r="B16" s="11"/>
      <c r="C16" s="11"/>
      <c r="D16" s="11"/>
      <c r="E16" s="11"/>
      <c r="F16" s="11"/>
      <c r="G16" s="31" t="s">
        <v>30</v>
      </c>
      <c r="H16" s="31"/>
    </row>
    <row r="17" spans="1:8" ht="15" customHeight="1">
      <c r="A17" s="32" t="s">
        <v>31</v>
      </c>
      <c r="B17" s="32"/>
      <c r="C17" s="32"/>
      <c r="D17" s="32"/>
      <c r="E17" s="26"/>
      <c r="F17" s="11"/>
      <c r="G17" s="11"/>
      <c r="H17" s="11"/>
    </row>
    <row r="18" spans="1:8" ht="15" customHeight="1">
      <c r="A18" s="27" t="s">
        <v>32</v>
      </c>
      <c r="B18" s="27" t="s">
        <v>33</v>
      </c>
      <c r="C18" s="27" t="s">
        <v>34</v>
      </c>
      <c r="D18" s="27" t="s">
        <v>22</v>
      </c>
      <c r="E18" s="27" t="s">
        <v>26</v>
      </c>
      <c r="F18" s="11"/>
      <c r="G18" s="11"/>
      <c r="H18" s="11"/>
    </row>
    <row r="19" spans="1:8" ht="15" customHeight="1">
      <c r="A19" s="28" t="s">
        <v>35</v>
      </c>
      <c r="B19" s="29"/>
      <c r="C19" s="30" t="s">
        <v>36</v>
      </c>
      <c r="D19" s="30" t="s">
        <v>23</v>
      </c>
      <c r="E19" s="30" t="s">
        <v>37</v>
      </c>
      <c r="F19" s="11"/>
      <c r="G19" s="11"/>
      <c r="H19" s="11"/>
    </row>
    <row r="20" spans="1:8" ht="15" customHeight="1">
      <c r="A20" s="28" t="s">
        <v>38</v>
      </c>
      <c r="B20" s="29"/>
      <c r="C20" s="30" t="s">
        <v>36</v>
      </c>
      <c r="D20" s="30" t="s">
        <v>23</v>
      </c>
      <c r="E20" s="30" t="s">
        <v>37</v>
      </c>
      <c r="F20" s="11"/>
      <c r="G20" s="11"/>
      <c r="H20" s="11"/>
    </row>
    <row r="21" spans="1:8" ht="15" customHeight="1">
      <c r="A21" s="28" t="s">
        <v>39</v>
      </c>
      <c r="B21" s="29"/>
      <c r="C21" s="30" t="s">
        <v>36</v>
      </c>
      <c r="D21" s="30" t="s">
        <v>23</v>
      </c>
      <c r="E21" s="30" t="s">
        <v>37</v>
      </c>
      <c r="F21" s="11"/>
      <c r="G21" s="11"/>
      <c r="H21" s="11"/>
    </row>
    <row r="22" spans="1:8" ht="15" customHeight="1">
      <c r="A22" s="28" t="s">
        <v>40</v>
      </c>
      <c r="B22" s="29"/>
      <c r="C22" s="30" t="s">
        <v>36</v>
      </c>
      <c r="D22" s="30" t="s">
        <v>23</v>
      </c>
      <c r="E22" s="30" t="s">
        <v>37</v>
      </c>
      <c r="F22" s="11"/>
      <c r="G22" s="11"/>
      <c r="H22" s="11"/>
    </row>
    <row r="23" spans="1:8" ht="15" customHeight="1">
      <c r="A23" s="28" t="s">
        <v>41</v>
      </c>
      <c r="B23" s="29"/>
      <c r="C23" s="30" t="s">
        <v>36</v>
      </c>
      <c r="D23" s="30" t="s">
        <v>23</v>
      </c>
      <c r="E23" s="30" t="s">
        <v>37</v>
      </c>
      <c r="F23" s="11"/>
      <c r="G23" s="11"/>
      <c r="H23" s="11"/>
    </row>
    <row r="24" spans="1:8" ht="15" customHeight="1">
      <c r="A24" s="28" t="s">
        <v>42</v>
      </c>
      <c r="B24" s="29"/>
      <c r="C24" s="30" t="s">
        <v>36</v>
      </c>
      <c r="D24" s="30" t="s">
        <v>23</v>
      </c>
      <c r="E24" s="30" t="s">
        <v>37</v>
      </c>
      <c r="F24" s="11"/>
      <c r="G24" s="11"/>
      <c r="H24" s="11"/>
    </row>
    <row r="25" spans="1:8" ht="15" customHeight="1">
      <c r="A25" s="28" t="s">
        <v>43</v>
      </c>
      <c r="B25" s="29"/>
      <c r="C25" s="30" t="s">
        <v>36</v>
      </c>
      <c r="D25" s="30" t="s">
        <v>23</v>
      </c>
      <c r="E25" s="30" t="s">
        <v>37</v>
      </c>
      <c r="F25" s="11"/>
      <c r="G25" s="11"/>
      <c r="H25" s="11"/>
    </row>
    <row r="26" spans="1:8" ht="15" customHeight="1">
      <c r="A26" s="28" t="s">
        <v>44</v>
      </c>
      <c r="B26" s="29"/>
      <c r="C26" s="30" t="s">
        <v>36</v>
      </c>
      <c r="D26" s="30" t="s">
        <v>23</v>
      </c>
      <c r="E26" s="30" t="s">
        <v>37</v>
      </c>
      <c r="F26" s="11"/>
      <c r="G26" s="11"/>
      <c r="H26" s="11"/>
    </row>
    <row r="27" spans="1:8" ht="15" customHeight="1">
      <c r="A27" s="28" t="s">
        <v>45</v>
      </c>
      <c r="B27" s="29"/>
      <c r="C27" s="30" t="s">
        <v>36</v>
      </c>
      <c r="D27" s="30" t="s">
        <v>23</v>
      </c>
      <c r="E27" s="30" t="s">
        <v>37</v>
      </c>
      <c r="F27" s="11"/>
      <c r="G27" s="11"/>
      <c r="H27" s="11"/>
    </row>
    <row r="28" spans="1:8" ht="15" customHeight="1">
      <c r="A28" s="28" t="s">
        <v>46</v>
      </c>
      <c r="B28" s="29"/>
      <c r="C28" s="30" t="s">
        <v>36</v>
      </c>
      <c r="D28" s="30" t="s">
        <v>23</v>
      </c>
      <c r="E28" s="30" t="s">
        <v>37</v>
      </c>
      <c r="F28" s="11"/>
      <c r="G28" s="11"/>
      <c r="H28" s="11"/>
    </row>
  </sheetData>
  <mergeCells count="7">
    <mergeCell ref="G16:H16"/>
    <mergeCell ref="A17:D17"/>
    <mergeCell ref="A1:H2"/>
    <mergeCell ref="A3:H3"/>
    <mergeCell ref="A5:D5"/>
    <mergeCell ref="G5:H5"/>
    <mergeCell ref="A12:D12"/>
  </mergeCells>
  <dataValidations count="5">
    <dataValidation type="list" showErrorMessage="1" errorTitle="Ошибка" error="Выберите из списка." sqref="B14" xr:uid="{00000000-0002-0000-0000-000000000000}">
      <formula1>"Сумма финансирования,Сумма уступки"</formula1>
      <formula2>0</formula2>
    </dataValidation>
    <dataValidation type="list" showErrorMessage="1" errorTitle="Ошибка" error="Выберите из списка." sqref="B15" xr:uid="{00000000-0002-0000-0000-000001000000}">
      <formula1>"Авансом,Ежемесячно,Из второго платежа"</formula1>
      <formula2>0</formula2>
    </dataValidation>
    <dataValidation type="list" allowBlank="1" showErrorMessage="1" errorTitle="Ошибка" error="Выберите из списка." sqref="C19:C28" xr:uid="{00000000-0002-0000-0000-000002000000}">
      <formula1>"% годовых,% от суммы"</formula1>
      <formula2>0</formula2>
    </dataValidation>
    <dataValidation type="list" allowBlank="1" showErrorMessage="1" errorTitle="Ошибка" error="Выберите из списка." sqref="D19:D28" xr:uid="{00000000-0002-0000-0000-000003000000}">
      <formula1>"Сумма финансирования,Сумма уступки"</formula1>
      <formula2>0</formula2>
    </dataValidation>
    <dataValidation type="list" allowBlank="1" showErrorMessage="1" errorTitle="Ошибка" error="Выберите из списка." sqref="E19:E28" xr:uid="{00000000-0002-0000-0000-000004000000}">
      <formula1>"Авансом,Ежемесячно,Из второго платежа"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zoomScale="80" zoomScaleNormal="80" workbookViewId="0">
      <selection activeCell="G9" sqref="G9"/>
    </sheetView>
  </sheetViews>
  <sheetFormatPr defaultColWidth="8.6640625" defaultRowHeight="13.2"/>
  <cols>
    <col min="1" max="1" width="17" style="1" customWidth="1"/>
    <col min="2" max="2" width="22" style="1" customWidth="1"/>
    <col min="3" max="3" width="12" style="1" customWidth="1"/>
    <col min="4" max="6" width="21" style="1" customWidth="1"/>
    <col min="7" max="15" width="20" style="1" customWidth="1"/>
  </cols>
  <sheetData>
    <row r="1" spans="1:15" ht="15" customHeight="1">
      <c r="A1" s="36" t="s">
        <v>47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4" spans="1:15" ht="27.75" customHeight="1">
      <c r="A4" s="2" t="s">
        <v>48</v>
      </c>
      <c r="B4" s="2" t="s">
        <v>32</v>
      </c>
      <c r="C4" s="2" t="s">
        <v>33</v>
      </c>
      <c r="D4" s="2" t="s">
        <v>49</v>
      </c>
      <c r="E4" s="2" t="s">
        <v>50</v>
      </c>
      <c r="F4" s="2" t="s">
        <v>51</v>
      </c>
      <c r="G4" s="2" t="s">
        <v>52</v>
      </c>
      <c r="H4" s="2" t="s">
        <v>53</v>
      </c>
      <c r="I4" s="2" t="s">
        <v>54</v>
      </c>
      <c r="J4" s="2" t="s">
        <v>55</v>
      </c>
      <c r="K4" s="2" t="s">
        <v>56</v>
      </c>
      <c r="L4" s="2" t="s">
        <v>57</v>
      </c>
      <c r="M4" s="2" t="s">
        <v>58</v>
      </c>
      <c r="N4" s="2" t="s">
        <v>59</v>
      </c>
      <c r="O4" s="2" t="s">
        <v>60</v>
      </c>
    </row>
    <row r="5" spans="1:15" ht="15" customHeight="1">
      <c r="A5" s="3" t="s">
        <v>61</v>
      </c>
      <c r="B5" s="4" t="s">
        <v>62</v>
      </c>
      <c r="C5" s="5">
        <f>Калькулятор!B13</f>
        <v>0.17249999999999999</v>
      </c>
      <c r="D5" s="4" t="s">
        <v>63</v>
      </c>
      <c r="E5" s="4" t="str">
        <f>Калькулятор!B14</f>
        <v>Сумма финансирования</v>
      </c>
      <c r="F5" s="4" t="str">
        <f>Калькулятор!B15</f>
        <v>Ежемесячно</v>
      </c>
      <c r="G5" s="6">
        <f>IF(E5="Сумма уступки",Калькулятор!$B$6,Калькулятор!$B$8)</f>
        <v>900000</v>
      </c>
      <c r="H5" s="6">
        <f>IF(OR(B5="",C5=""),0,G5*C5*Калькулятор!$B$9/365)</f>
        <v>25520.547945205479</v>
      </c>
      <c r="I5" s="6">
        <f>H5*Калькулятор!$B$10</f>
        <v>5614.5205479452052</v>
      </c>
      <c r="J5" s="6">
        <f t="shared" ref="J5:J15" si="0">H5+I5</f>
        <v>31135.068493150684</v>
      </c>
      <c r="K5" s="6">
        <f t="shared" ref="K5:K15" si="1">H5</f>
        <v>25520.547945205479</v>
      </c>
      <c r="L5" s="6">
        <f t="shared" ref="L5:L15" si="2">IF(F5="Авансом",J5,0)</f>
        <v>0</v>
      </c>
      <c r="M5" s="6">
        <f t="shared" ref="M5:M15" si="3">IF(F5="Ежемесячно",J5,0)</f>
        <v>31135.068493150684</v>
      </c>
      <c r="N5" s="6">
        <f t="shared" ref="N5:N15" si="4">IF(F5="Из второго платежа",J5,0)</f>
        <v>0</v>
      </c>
      <c r="O5" s="6">
        <f t="shared" ref="O5:O15" si="5">IF(OR(F5="Авансом",F5="Ежемесячно"),I5,0)</f>
        <v>5614.5205479452052</v>
      </c>
    </row>
    <row r="6" spans="1:15" ht="15" customHeight="1">
      <c r="A6" s="3" t="s">
        <v>64</v>
      </c>
      <c r="B6" s="4" t="str">
        <f>Калькулятор!A19</f>
        <v>Комиссия 1</v>
      </c>
      <c r="C6" s="5">
        <f>Калькулятор!B19</f>
        <v>0</v>
      </c>
      <c r="D6" s="4" t="str">
        <f>Калькулятор!C19</f>
        <v>% от суммы</v>
      </c>
      <c r="E6" s="4" t="str">
        <f>Калькулятор!D19</f>
        <v>Сумма финансирования</v>
      </c>
      <c r="F6" s="4" t="str">
        <f>Калькулятор!E19</f>
        <v>Авансом</v>
      </c>
      <c r="G6" s="6">
        <f>IF(OR(B6="",C6=""),0,IF(E6="Сумма уступки",Калькулятор!$B$6,Калькулятор!$B$8))</f>
        <v>900000</v>
      </c>
      <c r="H6" s="6">
        <f>IF(OR(B6="",C6=""),0,G6*C6*IF(D6="% годовых",Калькулятор!$B$9/365,1))</f>
        <v>0</v>
      </c>
      <c r="I6" s="6">
        <f>H6*Калькулятор!$B$10</f>
        <v>0</v>
      </c>
      <c r="J6" s="6">
        <f t="shared" si="0"/>
        <v>0</v>
      </c>
      <c r="K6" s="6">
        <f t="shared" si="1"/>
        <v>0</v>
      </c>
      <c r="L6" s="6">
        <f t="shared" si="2"/>
        <v>0</v>
      </c>
      <c r="M6" s="6">
        <f t="shared" si="3"/>
        <v>0</v>
      </c>
      <c r="N6" s="6">
        <f t="shared" si="4"/>
        <v>0</v>
      </c>
      <c r="O6" s="6">
        <f t="shared" si="5"/>
        <v>0</v>
      </c>
    </row>
    <row r="7" spans="1:15" ht="15" customHeight="1">
      <c r="A7" s="3" t="s">
        <v>64</v>
      </c>
      <c r="B7" s="4" t="str">
        <f>Калькулятор!A20</f>
        <v>Комиссия 2</v>
      </c>
      <c r="C7" s="5">
        <f>Калькулятор!B20</f>
        <v>0</v>
      </c>
      <c r="D7" s="4" t="str">
        <f>Калькулятор!C20</f>
        <v>% от суммы</v>
      </c>
      <c r="E7" s="4" t="str">
        <f>Калькулятор!D20</f>
        <v>Сумма финансирования</v>
      </c>
      <c r="F7" s="4" t="str">
        <f>Калькулятор!E20</f>
        <v>Авансом</v>
      </c>
      <c r="G7" s="6">
        <f>IF(OR(B7="",C7=""),0,IF(E7="Сумма уступки",Калькулятор!$B$6,Калькулятор!$B$8))</f>
        <v>900000</v>
      </c>
      <c r="H7" s="6">
        <f>IF(OR(B7="",C7=""),0,G7*C7*IF(D7="% годовых",Калькулятор!$B$9/365,1))</f>
        <v>0</v>
      </c>
      <c r="I7" s="6">
        <f>H7*Калькулятор!$B$10</f>
        <v>0</v>
      </c>
      <c r="J7" s="6">
        <f t="shared" si="0"/>
        <v>0</v>
      </c>
      <c r="K7" s="6">
        <f t="shared" si="1"/>
        <v>0</v>
      </c>
      <c r="L7" s="6">
        <f t="shared" si="2"/>
        <v>0</v>
      </c>
      <c r="M7" s="6">
        <f t="shared" si="3"/>
        <v>0</v>
      </c>
      <c r="N7" s="6">
        <f t="shared" si="4"/>
        <v>0</v>
      </c>
      <c r="O7" s="6">
        <f t="shared" si="5"/>
        <v>0</v>
      </c>
    </row>
    <row r="8" spans="1:15" ht="15" customHeight="1">
      <c r="A8" s="3" t="s">
        <v>64</v>
      </c>
      <c r="B8" s="4" t="str">
        <f>Калькулятор!A21</f>
        <v>Комиссия 3</v>
      </c>
      <c r="C8" s="5">
        <f>Калькулятор!B21</f>
        <v>0</v>
      </c>
      <c r="D8" s="4" t="str">
        <f>Калькулятор!C21</f>
        <v>% от суммы</v>
      </c>
      <c r="E8" s="4" t="str">
        <f>Калькулятор!D21</f>
        <v>Сумма финансирования</v>
      </c>
      <c r="F8" s="4" t="str">
        <f>Калькулятор!E21</f>
        <v>Авансом</v>
      </c>
      <c r="G8" s="6">
        <f>IF(OR(B8="",C8=""),0,IF(E8="Сумма уступки",Калькулятор!$B$6,Калькулятор!$B$8))</f>
        <v>900000</v>
      </c>
      <c r="H8" s="6">
        <f>IF(OR(B8="",C8=""),0,G8*C8*IF(D8="% годовых",Калькулятор!$B$9/365,1))</f>
        <v>0</v>
      </c>
      <c r="I8" s="6">
        <f>H8*Калькулятор!$B$10</f>
        <v>0</v>
      </c>
      <c r="J8" s="6">
        <f t="shared" si="0"/>
        <v>0</v>
      </c>
      <c r="K8" s="6">
        <f t="shared" si="1"/>
        <v>0</v>
      </c>
      <c r="L8" s="6">
        <f t="shared" si="2"/>
        <v>0</v>
      </c>
      <c r="M8" s="6">
        <f t="shared" si="3"/>
        <v>0</v>
      </c>
      <c r="N8" s="6">
        <f t="shared" si="4"/>
        <v>0</v>
      </c>
      <c r="O8" s="6">
        <f t="shared" si="5"/>
        <v>0</v>
      </c>
    </row>
    <row r="9" spans="1:15" ht="15" customHeight="1">
      <c r="A9" s="3" t="s">
        <v>64</v>
      </c>
      <c r="B9" s="4" t="str">
        <f>Калькулятор!A22</f>
        <v>Комиссия 4</v>
      </c>
      <c r="C9" s="5">
        <f>Калькулятор!B22</f>
        <v>0</v>
      </c>
      <c r="D9" s="4" t="str">
        <f>Калькулятор!C22</f>
        <v>% от суммы</v>
      </c>
      <c r="E9" s="4" t="str">
        <f>Калькулятор!D22</f>
        <v>Сумма финансирования</v>
      </c>
      <c r="F9" s="4" t="str">
        <f>Калькулятор!E22</f>
        <v>Авансом</v>
      </c>
      <c r="G9" s="6">
        <f>IF(OR(B9="",C9=""),0,IF(E9="Сумма уступки",Калькулятор!$B$6,Калькулятор!$B$8))</f>
        <v>900000</v>
      </c>
      <c r="H9" s="6">
        <f>IF(OR(B9="",C9=""),0,G9*C9*IF(D9="% годовых",Калькулятор!$B$9/365,1))</f>
        <v>0</v>
      </c>
      <c r="I9" s="6">
        <f>H9*Калькулятор!$B$10</f>
        <v>0</v>
      </c>
      <c r="J9" s="6">
        <f t="shared" si="0"/>
        <v>0</v>
      </c>
      <c r="K9" s="6">
        <f t="shared" si="1"/>
        <v>0</v>
      </c>
      <c r="L9" s="6">
        <f t="shared" si="2"/>
        <v>0</v>
      </c>
      <c r="M9" s="6">
        <f t="shared" si="3"/>
        <v>0</v>
      </c>
      <c r="N9" s="6">
        <f t="shared" si="4"/>
        <v>0</v>
      </c>
      <c r="O9" s="6">
        <f t="shared" si="5"/>
        <v>0</v>
      </c>
    </row>
    <row r="10" spans="1:15" ht="15" customHeight="1">
      <c r="A10" s="3" t="s">
        <v>64</v>
      </c>
      <c r="B10" s="4" t="str">
        <f>Калькулятор!A23</f>
        <v>Комиссия 5</v>
      </c>
      <c r="C10" s="5">
        <f>Калькулятор!B23</f>
        <v>0</v>
      </c>
      <c r="D10" s="4" t="str">
        <f>Калькулятор!C23</f>
        <v>% от суммы</v>
      </c>
      <c r="E10" s="4" t="str">
        <f>Калькулятор!D23</f>
        <v>Сумма финансирования</v>
      </c>
      <c r="F10" s="4" t="str">
        <f>Калькулятор!E23</f>
        <v>Авансом</v>
      </c>
      <c r="G10" s="6">
        <f>IF(OR(B10="",C10=""),0,IF(E10="Сумма уступки",Калькулятор!$B$6,Калькулятор!$B$8))</f>
        <v>900000</v>
      </c>
      <c r="H10" s="6">
        <f>IF(OR(B10="",C10=""),0,G10*C10*IF(D10="% годовых",Калькулятор!$B$9/365,1))</f>
        <v>0</v>
      </c>
      <c r="I10" s="6">
        <f>H10*Калькулятор!$B$10</f>
        <v>0</v>
      </c>
      <c r="J10" s="6">
        <f t="shared" si="0"/>
        <v>0</v>
      </c>
      <c r="K10" s="6">
        <f t="shared" si="1"/>
        <v>0</v>
      </c>
      <c r="L10" s="6">
        <f t="shared" si="2"/>
        <v>0</v>
      </c>
      <c r="M10" s="6">
        <f t="shared" si="3"/>
        <v>0</v>
      </c>
      <c r="N10" s="6">
        <f t="shared" si="4"/>
        <v>0</v>
      </c>
      <c r="O10" s="6">
        <f t="shared" si="5"/>
        <v>0</v>
      </c>
    </row>
    <row r="11" spans="1:15" ht="15" customHeight="1">
      <c r="A11" s="3" t="s">
        <v>64</v>
      </c>
      <c r="B11" s="4" t="str">
        <f>Калькулятор!A24</f>
        <v>Комиссия 6</v>
      </c>
      <c r="C11" s="5">
        <f>Калькулятор!B24</f>
        <v>0</v>
      </c>
      <c r="D11" s="4" t="str">
        <f>Калькулятор!C24</f>
        <v>% от суммы</v>
      </c>
      <c r="E11" s="4" t="str">
        <f>Калькулятор!D24</f>
        <v>Сумма финансирования</v>
      </c>
      <c r="F11" s="4" t="str">
        <f>Калькулятор!E24</f>
        <v>Авансом</v>
      </c>
      <c r="G11" s="6">
        <f>IF(OR(B11="",C11=""),0,IF(E11="Сумма уступки",Калькулятор!$B$6,Калькулятор!$B$8))</f>
        <v>900000</v>
      </c>
      <c r="H11" s="6">
        <f>IF(OR(B11="",C11=""),0,G11*C11*IF(D11="% годовых",Калькулятор!$B$9/365,1))</f>
        <v>0</v>
      </c>
      <c r="I11" s="6">
        <f>H11*Калькулятор!$B$10</f>
        <v>0</v>
      </c>
      <c r="J11" s="6">
        <f t="shared" si="0"/>
        <v>0</v>
      </c>
      <c r="K11" s="6">
        <f t="shared" si="1"/>
        <v>0</v>
      </c>
      <c r="L11" s="6">
        <f t="shared" si="2"/>
        <v>0</v>
      </c>
      <c r="M11" s="6">
        <f t="shared" si="3"/>
        <v>0</v>
      </c>
      <c r="N11" s="6">
        <f t="shared" si="4"/>
        <v>0</v>
      </c>
      <c r="O11" s="6">
        <f t="shared" si="5"/>
        <v>0</v>
      </c>
    </row>
    <row r="12" spans="1:15" ht="15" customHeight="1">
      <c r="A12" s="3" t="s">
        <v>64</v>
      </c>
      <c r="B12" s="4" t="str">
        <f>Калькулятор!A25</f>
        <v>Комиссия 7</v>
      </c>
      <c r="C12" s="5">
        <f>Калькулятор!B25</f>
        <v>0</v>
      </c>
      <c r="D12" s="4" t="str">
        <f>Калькулятор!C25</f>
        <v>% от суммы</v>
      </c>
      <c r="E12" s="4" t="str">
        <f>Калькулятор!D25</f>
        <v>Сумма финансирования</v>
      </c>
      <c r="F12" s="4" t="str">
        <f>Калькулятор!E25</f>
        <v>Авансом</v>
      </c>
      <c r="G12" s="6">
        <f>IF(OR(B12="",C12=""),0,IF(E12="Сумма уступки",Калькулятор!$B$6,Калькулятор!$B$8))</f>
        <v>900000</v>
      </c>
      <c r="H12" s="6">
        <f>IF(OR(B12="",C12=""),0,G12*C12*IF(D12="% годовых",Калькулятор!$B$9/365,1))</f>
        <v>0</v>
      </c>
      <c r="I12" s="6">
        <f>H12*Калькулятор!$B$10</f>
        <v>0</v>
      </c>
      <c r="J12" s="6">
        <f t="shared" si="0"/>
        <v>0</v>
      </c>
      <c r="K12" s="6">
        <f t="shared" si="1"/>
        <v>0</v>
      </c>
      <c r="L12" s="6">
        <f t="shared" si="2"/>
        <v>0</v>
      </c>
      <c r="M12" s="6">
        <f t="shared" si="3"/>
        <v>0</v>
      </c>
      <c r="N12" s="6">
        <f t="shared" si="4"/>
        <v>0</v>
      </c>
      <c r="O12" s="6">
        <f t="shared" si="5"/>
        <v>0</v>
      </c>
    </row>
    <row r="13" spans="1:15" ht="15" customHeight="1">
      <c r="A13" s="3" t="s">
        <v>64</v>
      </c>
      <c r="B13" s="4" t="str">
        <f>Калькулятор!A26</f>
        <v>Комиссия 8</v>
      </c>
      <c r="C13" s="5">
        <f>Калькулятор!B26</f>
        <v>0</v>
      </c>
      <c r="D13" s="4" t="str">
        <f>Калькулятор!C26</f>
        <v>% от суммы</v>
      </c>
      <c r="E13" s="4" t="str">
        <f>Калькулятор!D26</f>
        <v>Сумма финансирования</v>
      </c>
      <c r="F13" s="4" t="str">
        <f>Калькулятор!E26</f>
        <v>Авансом</v>
      </c>
      <c r="G13" s="6">
        <f>IF(OR(B13="",C13=""),0,IF(E13="Сумма уступки",Калькулятор!$B$6,Калькулятор!$B$8))</f>
        <v>900000</v>
      </c>
      <c r="H13" s="6">
        <f>IF(OR(B13="",C13=""),0,G13*C13*IF(D13="% годовых",Калькулятор!$B$9/365,1))</f>
        <v>0</v>
      </c>
      <c r="I13" s="6">
        <f>H13*Калькулятор!$B$10</f>
        <v>0</v>
      </c>
      <c r="J13" s="6">
        <f t="shared" si="0"/>
        <v>0</v>
      </c>
      <c r="K13" s="6">
        <f t="shared" si="1"/>
        <v>0</v>
      </c>
      <c r="L13" s="6">
        <f t="shared" si="2"/>
        <v>0</v>
      </c>
      <c r="M13" s="6">
        <f t="shared" si="3"/>
        <v>0</v>
      </c>
      <c r="N13" s="6">
        <f t="shared" si="4"/>
        <v>0</v>
      </c>
      <c r="O13" s="6">
        <f t="shared" si="5"/>
        <v>0</v>
      </c>
    </row>
    <row r="14" spans="1:15" ht="15" customHeight="1">
      <c r="A14" s="3" t="s">
        <v>64</v>
      </c>
      <c r="B14" s="4" t="str">
        <f>Калькулятор!A27</f>
        <v>Комиссия 9</v>
      </c>
      <c r="C14" s="5">
        <f>Калькулятор!B27</f>
        <v>0</v>
      </c>
      <c r="D14" s="4" t="str">
        <f>Калькулятор!C27</f>
        <v>% от суммы</v>
      </c>
      <c r="E14" s="4" t="str">
        <f>Калькулятор!D27</f>
        <v>Сумма финансирования</v>
      </c>
      <c r="F14" s="4" t="str">
        <f>Калькулятор!E27</f>
        <v>Авансом</v>
      </c>
      <c r="G14" s="6">
        <f>IF(OR(B14="",C14=""),0,IF(E14="Сумма уступки",Калькулятор!$B$6,Калькулятор!$B$8))</f>
        <v>900000</v>
      </c>
      <c r="H14" s="6">
        <f>IF(OR(B14="",C14=""),0,G14*C14*IF(D14="% годовых",Калькулятор!$B$9/365,1))</f>
        <v>0</v>
      </c>
      <c r="I14" s="6">
        <f>H14*Калькулятор!$B$10</f>
        <v>0</v>
      </c>
      <c r="J14" s="6">
        <f t="shared" si="0"/>
        <v>0</v>
      </c>
      <c r="K14" s="6">
        <f t="shared" si="1"/>
        <v>0</v>
      </c>
      <c r="L14" s="6">
        <f t="shared" si="2"/>
        <v>0</v>
      </c>
      <c r="M14" s="6">
        <f t="shared" si="3"/>
        <v>0</v>
      </c>
      <c r="N14" s="6">
        <f t="shared" si="4"/>
        <v>0</v>
      </c>
      <c r="O14" s="6">
        <f t="shared" si="5"/>
        <v>0</v>
      </c>
    </row>
    <row r="15" spans="1:15" ht="15" customHeight="1">
      <c r="A15" s="3" t="s">
        <v>64</v>
      </c>
      <c r="B15" s="4" t="str">
        <f>Калькулятор!A28</f>
        <v>Комиссия 10</v>
      </c>
      <c r="C15" s="5">
        <f>Калькулятор!B28</f>
        <v>0</v>
      </c>
      <c r="D15" s="4" t="str">
        <f>Калькулятор!C28</f>
        <v>% от суммы</v>
      </c>
      <c r="E15" s="4" t="str">
        <f>Калькулятор!D28</f>
        <v>Сумма финансирования</v>
      </c>
      <c r="F15" s="4" t="str">
        <f>Калькулятор!E28</f>
        <v>Авансом</v>
      </c>
      <c r="G15" s="6">
        <f>IF(OR(B15="",C15=""),0,IF(E15="Сумма уступки",Калькулятор!$B$6,Калькулятор!$B$8))</f>
        <v>900000</v>
      </c>
      <c r="H15" s="6">
        <f>IF(OR(B15="",C15=""),0,G15*C15*IF(D15="% годовых",Калькулятор!$B$9/365,1))</f>
        <v>0</v>
      </c>
      <c r="I15" s="6">
        <f>H15*Калькулятор!$B$10</f>
        <v>0</v>
      </c>
      <c r="J15" s="6">
        <f t="shared" si="0"/>
        <v>0</v>
      </c>
      <c r="K15" s="6">
        <f t="shared" si="1"/>
        <v>0</v>
      </c>
      <c r="L15" s="6">
        <f t="shared" si="2"/>
        <v>0</v>
      </c>
      <c r="M15" s="6">
        <f t="shared" si="3"/>
        <v>0</v>
      </c>
      <c r="N15" s="6">
        <f t="shared" si="4"/>
        <v>0</v>
      </c>
      <c r="O15" s="6">
        <f t="shared" si="5"/>
        <v>0</v>
      </c>
    </row>
    <row r="16" spans="1:15" ht="15" customHeight="1">
      <c r="A16" s="3"/>
      <c r="B16" s="3"/>
      <c r="C16" s="3"/>
      <c r="D16" s="3"/>
      <c r="E16" s="3"/>
      <c r="F16" s="3"/>
      <c r="G16" s="6"/>
      <c r="H16" s="6"/>
      <c r="I16" s="6"/>
      <c r="J16" s="6"/>
      <c r="K16" s="6"/>
      <c r="L16" s="6"/>
      <c r="M16" s="6"/>
      <c r="N16" s="6"/>
      <c r="O16" s="6"/>
    </row>
    <row r="17" spans="1:15" ht="15" customHeight="1">
      <c r="A17" s="37" t="s">
        <v>65</v>
      </c>
      <c r="B17" s="37"/>
      <c r="C17" s="37"/>
      <c r="D17" s="37"/>
      <c r="E17" s="37"/>
      <c r="F17" s="37"/>
      <c r="G17" s="7">
        <f t="shared" ref="G17:O17" si="6">SUM(G5:G15)</f>
        <v>9900000</v>
      </c>
      <c r="H17" s="7">
        <f t="shared" si="6"/>
        <v>25520.547945205479</v>
      </c>
      <c r="I17" s="7">
        <f t="shared" si="6"/>
        <v>5614.5205479452052</v>
      </c>
      <c r="J17" s="7">
        <f t="shared" si="6"/>
        <v>31135.068493150684</v>
      </c>
      <c r="K17" s="7">
        <f t="shared" si="6"/>
        <v>25520.547945205479</v>
      </c>
      <c r="L17" s="7">
        <f t="shared" si="6"/>
        <v>0</v>
      </c>
      <c r="M17" s="7">
        <f t="shared" si="6"/>
        <v>31135.068493150684</v>
      </c>
      <c r="N17" s="7">
        <f t="shared" si="6"/>
        <v>0</v>
      </c>
      <c r="O17" s="7">
        <f t="shared" si="6"/>
        <v>5614.5205479452052</v>
      </c>
    </row>
  </sheetData>
  <mergeCells count="2">
    <mergeCell ref="A1:O2"/>
    <mergeCell ref="A17:F1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zoomScale="80" zoomScaleNormal="80" workbookViewId="0">
      <selection sqref="A1:H2"/>
    </sheetView>
  </sheetViews>
  <sheetFormatPr defaultColWidth="8.6640625" defaultRowHeight="13.2"/>
  <cols>
    <col min="1" max="1" width="10" style="1" customWidth="1"/>
    <col min="2" max="4" width="14" style="1" customWidth="1"/>
    <col min="5" max="8" width="25" style="1" customWidth="1"/>
  </cols>
  <sheetData>
    <row r="1" spans="1:8" ht="15" customHeight="1">
      <c r="A1" s="36" t="s">
        <v>66</v>
      </c>
      <c r="B1" s="36"/>
      <c r="C1" s="36"/>
      <c r="D1" s="36"/>
      <c r="E1" s="36"/>
      <c r="F1" s="36"/>
      <c r="G1" s="36"/>
      <c r="H1" s="36"/>
    </row>
    <row r="2" spans="1:8" ht="15" customHeight="1">
      <c r="A2" s="36"/>
      <c r="B2" s="36"/>
      <c r="C2" s="36"/>
      <c r="D2" s="36"/>
      <c r="E2" s="36"/>
      <c r="F2" s="36"/>
      <c r="G2" s="36"/>
      <c r="H2" s="36"/>
    </row>
    <row r="4" spans="1:8" ht="27.75" customHeight="1">
      <c r="A4" s="2" t="s">
        <v>67</v>
      </c>
      <c r="B4" s="2" t="s">
        <v>68</v>
      </c>
      <c r="C4" s="2" t="s">
        <v>69</v>
      </c>
      <c r="D4" s="2" t="s">
        <v>70</v>
      </c>
      <c r="E4" s="2" t="s">
        <v>71</v>
      </c>
      <c r="F4" s="2" t="s">
        <v>72</v>
      </c>
      <c r="G4" s="2" t="s">
        <v>73</v>
      </c>
      <c r="H4" s="2" t="s">
        <v>74</v>
      </c>
    </row>
    <row r="5" spans="1:8" ht="15" customHeight="1">
      <c r="A5" s="8">
        <v>1</v>
      </c>
      <c r="B5" s="8">
        <v>0</v>
      </c>
      <c r="C5" s="8">
        <f>MIN(15,Калькулятор!B9)</f>
        <v>15</v>
      </c>
      <c r="D5" s="8">
        <f>MAX(C5-B5,0)</f>
        <v>15</v>
      </c>
      <c r="E5" s="6">
        <f>Калькулятор!B8-'Расчет комиссий'!L17</f>
        <v>900000</v>
      </c>
      <c r="F5" s="6">
        <v>0</v>
      </c>
      <c r="G5" s="6">
        <f>E5</f>
        <v>900000</v>
      </c>
      <c r="H5" s="6">
        <f>G5*D5</f>
        <v>13500000</v>
      </c>
    </row>
    <row r="6" spans="1:8" ht="15" customHeight="1">
      <c r="A6" s="8">
        <v>2</v>
      </c>
      <c r="B6" s="8">
        <f>C5</f>
        <v>15</v>
      </c>
      <c r="C6" s="8">
        <f>Калькулятор!B9</f>
        <v>60</v>
      </c>
      <c r="D6" s="8">
        <f>MAX(C6-B6,0)</f>
        <v>45</v>
      </c>
      <c r="E6" s="6">
        <f>G5</f>
        <v>900000</v>
      </c>
      <c r="F6" s="6">
        <f>IF(D6&gt;0,'Расчет комиссий'!M17,0)</f>
        <v>31135.068493150684</v>
      </c>
      <c r="G6" s="6">
        <f>E6-F6</f>
        <v>868864.93150684936</v>
      </c>
      <c r="H6" s="6">
        <f>G6*D6</f>
        <v>39098921.91780822</v>
      </c>
    </row>
    <row r="7" spans="1:8" ht="15" customHeight="1">
      <c r="A7" s="8">
        <v>3</v>
      </c>
      <c r="B7" s="8"/>
      <c r="C7" s="8"/>
      <c r="D7" s="8">
        <v>0</v>
      </c>
      <c r="E7" s="6"/>
      <c r="F7" s="6">
        <v>0</v>
      </c>
      <c r="G7" s="6"/>
      <c r="H7" s="6">
        <v>0</v>
      </c>
    </row>
    <row r="8" spans="1:8" ht="15" customHeight="1">
      <c r="A8" s="8">
        <v>4</v>
      </c>
      <c r="B8" s="8"/>
      <c r="C8" s="8"/>
      <c r="D8" s="8">
        <v>0</v>
      </c>
      <c r="E8" s="6"/>
      <c r="F8" s="6">
        <v>0</v>
      </c>
      <c r="G8" s="6"/>
      <c r="H8" s="6">
        <v>0</v>
      </c>
    </row>
    <row r="9" spans="1:8" ht="15" customHeight="1">
      <c r="A9" s="8">
        <v>5</v>
      </c>
      <c r="B9" s="8"/>
      <c r="C9" s="8"/>
      <c r="D9" s="8">
        <v>0</v>
      </c>
      <c r="E9" s="6"/>
      <c r="F9" s="6">
        <v>0</v>
      </c>
      <c r="G9" s="6"/>
      <c r="H9" s="6">
        <v>0</v>
      </c>
    </row>
    <row r="10" spans="1:8" ht="15" customHeight="1">
      <c r="A10" s="8">
        <v>6</v>
      </c>
      <c r="B10" s="8"/>
      <c r="C10" s="8"/>
      <c r="D10" s="8">
        <v>0</v>
      </c>
      <c r="E10" s="6"/>
      <c r="F10" s="6">
        <v>0</v>
      </c>
      <c r="G10" s="6"/>
      <c r="H10" s="6">
        <v>0</v>
      </c>
    </row>
    <row r="11" spans="1:8" ht="15" customHeight="1">
      <c r="A11" s="8">
        <v>7</v>
      </c>
      <c r="B11" s="8"/>
      <c r="C11" s="8"/>
      <c r="D11" s="8">
        <v>0</v>
      </c>
      <c r="E11" s="6"/>
      <c r="F11" s="6">
        <v>0</v>
      </c>
      <c r="G11" s="6"/>
      <c r="H11" s="6">
        <v>0</v>
      </c>
    </row>
    <row r="12" spans="1:8" ht="15" customHeight="1">
      <c r="A12" s="8">
        <v>8</v>
      </c>
      <c r="B12" s="8"/>
      <c r="C12" s="8"/>
      <c r="D12" s="8">
        <v>0</v>
      </c>
      <c r="E12" s="6"/>
      <c r="F12" s="6">
        <v>0</v>
      </c>
      <c r="G12" s="6"/>
      <c r="H12" s="6">
        <v>0</v>
      </c>
    </row>
    <row r="13" spans="1:8" ht="15" customHeight="1">
      <c r="A13" s="8">
        <v>9</v>
      </c>
      <c r="B13" s="8"/>
      <c r="C13" s="8"/>
      <c r="D13" s="8">
        <v>0</v>
      </c>
      <c r="E13" s="6"/>
      <c r="F13" s="6">
        <v>0</v>
      </c>
      <c r="G13" s="6"/>
      <c r="H13" s="6">
        <v>0</v>
      </c>
    </row>
    <row r="14" spans="1:8" ht="15" customHeight="1">
      <c r="A14" s="8">
        <v>10</v>
      </c>
      <c r="B14" s="8"/>
      <c r="C14" s="8"/>
      <c r="D14" s="8">
        <v>0</v>
      </c>
      <c r="E14" s="6"/>
      <c r="F14" s="6">
        <v>0</v>
      </c>
      <c r="G14" s="6"/>
      <c r="H14" s="6">
        <v>0</v>
      </c>
    </row>
    <row r="15" spans="1:8" ht="15" customHeight="1">
      <c r="A15" s="8">
        <v>11</v>
      </c>
      <c r="B15" s="8"/>
      <c r="C15" s="8"/>
      <c r="D15" s="8">
        <v>0</v>
      </c>
      <c r="E15" s="6"/>
      <c r="F15" s="6">
        <v>0</v>
      </c>
      <c r="G15" s="6"/>
      <c r="H15" s="6">
        <v>0</v>
      </c>
    </row>
    <row r="16" spans="1:8" ht="15" customHeight="1">
      <c r="A16" s="8">
        <v>12</v>
      </c>
      <c r="B16" s="8"/>
      <c r="C16" s="8"/>
      <c r="D16" s="8">
        <v>0</v>
      </c>
      <c r="E16" s="6"/>
      <c r="F16" s="6">
        <v>0</v>
      </c>
      <c r="G16" s="6"/>
      <c r="H16" s="6">
        <v>0</v>
      </c>
    </row>
    <row r="17" spans="1:8" ht="15" customHeight="1">
      <c r="A17" s="8">
        <v>13</v>
      </c>
      <c r="B17" s="8"/>
      <c r="C17" s="8"/>
      <c r="D17" s="8">
        <v>0</v>
      </c>
      <c r="E17" s="6"/>
      <c r="F17" s="6">
        <v>0</v>
      </c>
      <c r="G17" s="6"/>
      <c r="H17" s="6">
        <v>0</v>
      </c>
    </row>
    <row r="18" spans="1:8" ht="15" customHeight="1">
      <c r="A18" s="8">
        <v>14</v>
      </c>
      <c r="B18" s="8"/>
      <c r="C18" s="8"/>
      <c r="D18" s="8">
        <v>0</v>
      </c>
      <c r="E18" s="6"/>
      <c r="F18" s="6">
        <v>0</v>
      </c>
      <c r="G18" s="6"/>
      <c r="H18" s="6">
        <v>0</v>
      </c>
    </row>
    <row r="19" spans="1:8" ht="15" customHeight="1">
      <c r="A19" s="8">
        <v>15</v>
      </c>
      <c r="B19" s="8"/>
      <c r="C19" s="8"/>
      <c r="D19" s="8">
        <v>0</v>
      </c>
      <c r="E19" s="6"/>
      <c r="F19" s="6">
        <v>0</v>
      </c>
      <c r="G19" s="6"/>
      <c r="H19" s="6">
        <v>0</v>
      </c>
    </row>
    <row r="20" spans="1:8" ht="15" customHeight="1">
      <c r="A20" s="8">
        <v>16</v>
      </c>
      <c r="B20" s="8"/>
      <c r="C20" s="8"/>
      <c r="D20" s="8">
        <v>0</v>
      </c>
      <c r="E20" s="6"/>
      <c r="F20" s="6">
        <v>0</v>
      </c>
      <c r="G20" s="6"/>
      <c r="H20" s="6">
        <v>0</v>
      </c>
    </row>
    <row r="21" spans="1:8" ht="15" customHeight="1">
      <c r="A21" s="8">
        <v>17</v>
      </c>
      <c r="B21" s="8"/>
      <c r="C21" s="8"/>
      <c r="D21" s="8">
        <v>0</v>
      </c>
      <c r="E21" s="6"/>
      <c r="F21" s="6">
        <v>0</v>
      </c>
      <c r="G21" s="6"/>
      <c r="H21" s="6">
        <v>0</v>
      </c>
    </row>
    <row r="22" spans="1:8" ht="15" customHeight="1">
      <c r="A22" s="8">
        <v>18</v>
      </c>
      <c r="B22" s="8"/>
      <c r="C22" s="8"/>
      <c r="D22" s="8">
        <v>0</v>
      </c>
      <c r="E22" s="6"/>
      <c r="F22" s="6">
        <v>0</v>
      </c>
      <c r="G22" s="6"/>
      <c r="H22" s="6">
        <v>0</v>
      </c>
    </row>
    <row r="23" spans="1:8" ht="15" customHeight="1">
      <c r="A23" s="8">
        <v>19</v>
      </c>
      <c r="B23" s="8"/>
      <c r="C23" s="8"/>
      <c r="D23" s="8">
        <v>0</v>
      </c>
      <c r="E23" s="6"/>
      <c r="F23" s="6">
        <v>0</v>
      </c>
      <c r="G23" s="6"/>
      <c r="H23" s="6">
        <v>0</v>
      </c>
    </row>
    <row r="24" spans="1:8" ht="15" customHeight="1">
      <c r="A24" s="8">
        <v>20</v>
      </c>
      <c r="B24" s="8"/>
      <c r="C24" s="8"/>
      <c r="D24" s="8">
        <v>0</v>
      </c>
      <c r="E24" s="6"/>
      <c r="F24" s="6">
        <v>0</v>
      </c>
      <c r="G24" s="6"/>
      <c r="H24" s="6">
        <v>0</v>
      </c>
    </row>
    <row r="25" spans="1:8" ht="15" customHeight="1">
      <c r="A25" s="8">
        <v>21</v>
      </c>
      <c r="B25" s="8"/>
      <c r="C25" s="8"/>
      <c r="D25" s="8">
        <v>0</v>
      </c>
      <c r="E25" s="6"/>
      <c r="F25" s="6">
        <v>0</v>
      </c>
      <c r="G25" s="6"/>
      <c r="H25" s="6">
        <v>0</v>
      </c>
    </row>
    <row r="26" spans="1:8" ht="15" customHeight="1">
      <c r="A26" s="8">
        <v>22</v>
      </c>
      <c r="B26" s="8"/>
      <c r="C26" s="8"/>
      <c r="D26" s="8">
        <v>0</v>
      </c>
      <c r="E26" s="6"/>
      <c r="F26" s="6">
        <v>0</v>
      </c>
      <c r="G26" s="6"/>
      <c r="H26" s="6">
        <v>0</v>
      </c>
    </row>
    <row r="27" spans="1:8" ht="15" customHeight="1">
      <c r="A27" s="8">
        <v>23</v>
      </c>
      <c r="B27" s="8"/>
      <c r="C27" s="8"/>
      <c r="D27" s="8">
        <v>0</v>
      </c>
      <c r="E27" s="6"/>
      <c r="F27" s="6">
        <v>0</v>
      </c>
      <c r="G27" s="6"/>
      <c r="H27" s="6">
        <v>0</v>
      </c>
    </row>
    <row r="28" spans="1:8" ht="15" customHeight="1">
      <c r="A28" s="8">
        <v>24</v>
      </c>
      <c r="B28" s="8"/>
      <c r="C28" s="8"/>
      <c r="D28" s="8">
        <v>0</v>
      </c>
      <c r="E28" s="6"/>
      <c r="F28" s="6">
        <v>0</v>
      </c>
      <c r="G28" s="6"/>
      <c r="H28" s="6">
        <v>0</v>
      </c>
    </row>
    <row r="29" spans="1:8" ht="15" customHeight="1">
      <c r="A29" s="8">
        <v>25</v>
      </c>
      <c r="B29" s="8"/>
      <c r="C29" s="8"/>
      <c r="D29" s="8">
        <v>0</v>
      </c>
      <c r="E29" s="6"/>
      <c r="F29" s="6">
        <v>0</v>
      </c>
      <c r="G29" s="6"/>
      <c r="H29" s="6">
        <v>0</v>
      </c>
    </row>
    <row r="30" spans="1:8" ht="15" customHeight="1">
      <c r="A30" s="8">
        <v>26</v>
      </c>
      <c r="B30" s="8"/>
      <c r="C30" s="8"/>
      <c r="D30" s="8">
        <v>0</v>
      </c>
      <c r="E30" s="6"/>
      <c r="F30" s="6">
        <v>0</v>
      </c>
      <c r="G30" s="6"/>
      <c r="H30" s="6">
        <v>0</v>
      </c>
    </row>
    <row r="31" spans="1:8" ht="15" customHeight="1">
      <c r="A31" s="8">
        <v>27</v>
      </c>
      <c r="B31" s="8"/>
      <c r="C31" s="8"/>
      <c r="D31" s="8">
        <v>0</v>
      </c>
      <c r="E31" s="6"/>
      <c r="F31" s="6">
        <v>0</v>
      </c>
      <c r="G31" s="6"/>
      <c r="H31" s="6">
        <v>0</v>
      </c>
    </row>
    <row r="32" spans="1:8" ht="15" customHeight="1">
      <c r="A32" s="8">
        <v>28</v>
      </c>
      <c r="B32" s="8"/>
      <c r="C32" s="8"/>
      <c r="D32" s="8">
        <v>0</v>
      </c>
      <c r="E32" s="6"/>
      <c r="F32" s="6">
        <v>0</v>
      </c>
      <c r="G32" s="6"/>
      <c r="H32" s="6">
        <v>0</v>
      </c>
    </row>
    <row r="33" spans="1:8" ht="15" customHeight="1">
      <c r="A33" s="8">
        <v>29</v>
      </c>
      <c r="B33" s="8"/>
      <c r="C33" s="8"/>
      <c r="D33" s="8">
        <v>0</v>
      </c>
      <c r="E33" s="6"/>
      <c r="F33" s="6">
        <v>0</v>
      </c>
      <c r="G33" s="6"/>
      <c r="H33" s="6">
        <v>0</v>
      </c>
    </row>
    <row r="34" spans="1:8" ht="15" customHeight="1">
      <c r="A34" s="8">
        <v>30</v>
      </c>
      <c r="B34" s="8"/>
      <c r="C34" s="8"/>
      <c r="D34" s="8">
        <v>0</v>
      </c>
      <c r="E34" s="6"/>
      <c r="F34" s="6">
        <v>0</v>
      </c>
      <c r="G34" s="6"/>
      <c r="H34" s="6">
        <v>0</v>
      </c>
    </row>
    <row r="35" spans="1:8" ht="15" customHeight="1">
      <c r="A35" s="8">
        <v>31</v>
      </c>
      <c r="B35" s="8"/>
      <c r="C35" s="8"/>
      <c r="D35" s="8">
        <v>0</v>
      </c>
      <c r="E35" s="6"/>
      <c r="F35" s="6">
        <v>0</v>
      </c>
      <c r="G35" s="6"/>
      <c r="H35" s="6">
        <v>0</v>
      </c>
    </row>
    <row r="36" spans="1:8" ht="15" customHeight="1">
      <c r="A36" s="8">
        <v>32</v>
      </c>
      <c r="B36" s="8"/>
      <c r="C36" s="8"/>
      <c r="D36" s="8">
        <v>0</v>
      </c>
      <c r="E36" s="6"/>
      <c r="F36" s="6">
        <v>0</v>
      </c>
      <c r="G36" s="6"/>
      <c r="H36" s="6">
        <v>0</v>
      </c>
    </row>
    <row r="37" spans="1:8" ht="15" customHeight="1">
      <c r="A37" s="8">
        <v>33</v>
      </c>
      <c r="B37" s="8"/>
      <c r="C37" s="8"/>
      <c r="D37" s="8">
        <v>0</v>
      </c>
      <c r="E37" s="6"/>
      <c r="F37" s="6">
        <v>0</v>
      </c>
      <c r="G37" s="6"/>
      <c r="H37" s="6">
        <v>0</v>
      </c>
    </row>
    <row r="38" spans="1:8" ht="15" customHeight="1">
      <c r="A38" s="8">
        <v>34</v>
      </c>
      <c r="B38" s="8"/>
      <c r="C38" s="8"/>
      <c r="D38" s="8">
        <v>0</v>
      </c>
      <c r="E38" s="6"/>
      <c r="F38" s="6">
        <v>0</v>
      </c>
      <c r="G38" s="6"/>
      <c r="H38" s="6">
        <v>0</v>
      </c>
    </row>
    <row r="39" spans="1:8" ht="15" customHeight="1">
      <c r="A39" s="8">
        <v>35</v>
      </c>
      <c r="B39" s="8"/>
      <c r="C39" s="8"/>
      <c r="D39" s="8">
        <v>0</v>
      </c>
      <c r="E39" s="6"/>
      <c r="F39" s="6">
        <v>0</v>
      </c>
      <c r="G39" s="6"/>
      <c r="H39" s="6">
        <v>0</v>
      </c>
    </row>
    <row r="40" spans="1:8" ht="15" customHeight="1">
      <c r="A40" s="8">
        <v>36</v>
      </c>
      <c r="B40" s="8"/>
      <c r="C40" s="8"/>
      <c r="D40" s="8">
        <v>0</v>
      </c>
      <c r="E40" s="6"/>
      <c r="F40" s="6">
        <v>0</v>
      </c>
      <c r="G40" s="6"/>
      <c r="H40" s="6">
        <v>0</v>
      </c>
    </row>
    <row r="41" spans="1:8" ht="15" customHeight="1">
      <c r="A41" s="8">
        <v>37</v>
      </c>
      <c r="B41" s="8"/>
      <c r="C41" s="8"/>
      <c r="D41" s="8">
        <v>0</v>
      </c>
      <c r="E41" s="6"/>
      <c r="F41" s="6">
        <v>0</v>
      </c>
      <c r="G41" s="6"/>
      <c r="H41" s="6">
        <v>0</v>
      </c>
    </row>
    <row r="42" spans="1:8" ht="15" customHeight="1">
      <c r="A42" s="8">
        <v>38</v>
      </c>
      <c r="B42" s="8"/>
      <c r="C42" s="8"/>
      <c r="D42" s="8">
        <v>0</v>
      </c>
      <c r="E42" s="6"/>
      <c r="F42" s="6">
        <v>0</v>
      </c>
      <c r="G42" s="6"/>
      <c r="H42" s="6">
        <v>0</v>
      </c>
    </row>
    <row r="43" spans="1:8" ht="15" customHeight="1">
      <c r="A43" s="8">
        <v>39</v>
      </c>
      <c r="B43" s="8"/>
      <c r="C43" s="8"/>
      <c r="D43" s="8">
        <v>0</v>
      </c>
      <c r="E43" s="6"/>
      <c r="F43" s="6">
        <v>0</v>
      </c>
      <c r="G43" s="6"/>
      <c r="H43" s="6">
        <v>0</v>
      </c>
    </row>
    <row r="44" spans="1:8" ht="15" customHeight="1">
      <c r="A44" s="8">
        <v>40</v>
      </c>
      <c r="B44" s="8"/>
      <c r="C44" s="8"/>
      <c r="D44" s="8">
        <v>0</v>
      </c>
      <c r="E44" s="6"/>
      <c r="F44" s="6">
        <v>0</v>
      </c>
      <c r="G44" s="6"/>
      <c r="H44" s="6">
        <v>0</v>
      </c>
    </row>
    <row r="45" spans="1:8" ht="15" customHeight="1">
      <c r="A45" s="8">
        <v>41</v>
      </c>
      <c r="B45" s="8"/>
      <c r="C45" s="8"/>
      <c r="D45" s="8">
        <v>0</v>
      </c>
      <c r="E45" s="6"/>
      <c r="F45" s="6">
        <v>0</v>
      </c>
      <c r="G45" s="6"/>
      <c r="H45" s="6">
        <v>0</v>
      </c>
    </row>
    <row r="46" spans="1:8" ht="15" customHeight="1">
      <c r="A46" s="8">
        <v>42</v>
      </c>
      <c r="B46" s="8"/>
      <c r="C46" s="8"/>
      <c r="D46" s="8">
        <v>0</v>
      </c>
      <c r="E46" s="6"/>
      <c r="F46" s="6">
        <v>0</v>
      </c>
      <c r="G46" s="6"/>
      <c r="H46" s="6">
        <v>0</v>
      </c>
    </row>
    <row r="47" spans="1:8" ht="15" customHeight="1">
      <c r="A47" s="8">
        <v>43</v>
      </c>
      <c r="B47" s="8"/>
      <c r="C47" s="8"/>
      <c r="D47" s="8">
        <v>0</v>
      </c>
      <c r="E47" s="6"/>
      <c r="F47" s="6">
        <v>0</v>
      </c>
      <c r="G47" s="6"/>
      <c r="H47" s="6">
        <v>0</v>
      </c>
    </row>
    <row r="48" spans="1:8" ht="15" customHeight="1">
      <c r="A48" s="8">
        <v>44</v>
      </c>
      <c r="B48" s="8"/>
      <c r="C48" s="8"/>
      <c r="D48" s="8">
        <v>0</v>
      </c>
      <c r="E48" s="6"/>
      <c r="F48" s="6">
        <v>0</v>
      </c>
      <c r="G48" s="6"/>
      <c r="H48" s="6">
        <v>0</v>
      </c>
    </row>
    <row r="49" spans="1:8" ht="15" customHeight="1">
      <c r="A49" s="8">
        <v>45</v>
      </c>
      <c r="B49" s="8"/>
      <c r="C49" s="8"/>
      <c r="D49" s="8">
        <v>0</v>
      </c>
      <c r="E49" s="6"/>
      <c r="F49" s="6">
        <v>0</v>
      </c>
      <c r="G49" s="6"/>
      <c r="H49" s="6">
        <v>0</v>
      </c>
    </row>
    <row r="50" spans="1:8" ht="15" customHeight="1">
      <c r="A50" s="8">
        <v>46</v>
      </c>
      <c r="B50" s="8"/>
      <c r="C50" s="8"/>
      <c r="D50" s="8">
        <v>0</v>
      </c>
      <c r="E50" s="6"/>
      <c r="F50" s="6">
        <v>0</v>
      </c>
      <c r="G50" s="6"/>
      <c r="H50" s="6">
        <v>0</v>
      </c>
    </row>
    <row r="51" spans="1:8" ht="15" customHeight="1">
      <c r="A51" s="8">
        <v>47</v>
      </c>
      <c r="B51" s="8"/>
      <c r="C51" s="8"/>
      <c r="D51" s="8">
        <v>0</v>
      </c>
      <c r="E51" s="6"/>
      <c r="F51" s="6">
        <v>0</v>
      </c>
      <c r="G51" s="6"/>
      <c r="H51" s="6">
        <v>0</v>
      </c>
    </row>
    <row r="52" spans="1:8" ht="15" customHeight="1">
      <c r="A52" s="8">
        <v>48</v>
      </c>
      <c r="B52" s="8"/>
      <c r="C52" s="8"/>
      <c r="D52" s="8">
        <v>0</v>
      </c>
      <c r="E52" s="6"/>
      <c r="F52" s="6">
        <v>0</v>
      </c>
      <c r="G52" s="6"/>
      <c r="H52" s="6">
        <v>0</v>
      </c>
    </row>
    <row r="53" spans="1:8" ht="15" customHeight="1">
      <c r="A53" s="8">
        <v>49</v>
      </c>
      <c r="B53" s="8"/>
      <c r="C53" s="8"/>
      <c r="D53" s="8">
        <v>0</v>
      </c>
      <c r="E53" s="6"/>
      <c r="F53" s="6">
        <v>0</v>
      </c>
      <c r="G53" s="6"/>
      <c r="H53" s="6">
        <v>0</v>
      </c>
    </row>
    <row r="54" spans="1:8" ht="15" customHeight="1">
      <c r="A54" s="8">
        <v>50</v>
      </c>
      <c r="B54" s="8"/>
      <c r="C54" s="8"/>
      <c r="D54" s="8">
        <v>0</v>
      </c>
      <c r="E54" s="6"/>
      <c r="F54" s="6">
        <v>0</v>
      </c>
      <c r="G54" s="6"/>
      <c r="H54" s="6">
        <v>0</v>
      </c>
    </row>
    <row r="55" spans="1:8" ht="15" customHeight="1">
      <c r="A55" s="37" t="s">
        <v>75</v>
      </c>
      <c r="B55" s="37"/>
      <c r="C55" s="37"/>
      <c r="D55" s="37"/>
      <c r="E55" s="37"/>
      <c r="F55" s="37"/>
      <c r="G55" s="37"/>
      <c r="H55" s="7">
        <f>IF(Калькулятор!B9&gt;0,SUM(H5:H54)/Калькулятор!B9,0)</f>
        <v>876648.69863013702</v>
      </c>
    </row>
  </sheetData>
  <mergeCells count="2">
    <mergeCell ref="A1:H2"/>
    <mergeCell ref="A55:G5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="80" zoomScaleNormal="80" workbookViewId="0">
      <selection sqref="A1:F2"/>
    </sheetView>
  </sheetViews>
  <sheetFormatPr defaultColWidth="8.6640625" defaultRowHeight="13.2"/>
  <cols>
    <col min="1" max="1" width="7" style="1" customWidth="1"/>
    <col min="2" max="2" width="28" style="1" customWidth="1"/>
    <col min="3" max="3" width="78" style="1" customWidth="1"/>
  </cols>
  <sheetData>
    <row r="1" spans="1:6" ht="15" customHeight="1">
      <c r="A1" s="36" t="s">
        <v>76</v>
      </c>
      <c r="B1" s="36"/>
      <c r="C1" s="36"/>
      <c r="D1" s="36"/>
      <c r="E1" s="36"/>
      <c r="F1" s="36"/>
    </row>
    <row r="2" spans="1:6" ht="15" customHeight="1">
      <c r="A2" s="36"/>
      <c r="B2" s="36"/>
      <c r="C2" s="36"/>
      <c r="D2" s="36"/>
      <c r="E2" s="36"/>
      <c r="F2" s="36"/>
    </row>
    <row r="4" spans="1:6" ht="15" customHeight="1">
      <c r="A4" s="9" t="s">
        <v>77</v>
      </c>
      <c r="B4" s="9" t="s">
        <v>78</v>
      </c>
      <c r="C4" s="9" t="s">
        <v>79</v>
      </c>
    </row>
    <row r="5" spans="1:6" ht="15" customHeight="1">
      <c r="A5" s="10" t="s">
        <v>80</v>
      </c>
      <c r="B5" s="10" t="s">
        <v>23</v>
      </c>
      <c r="C5" s="10" t="s">
        <v>81</v>
      </c>
    </row>
    <row r="6" spans="1:6" ht="15" customHeight="1">
      <c r="A6" s="10" t="s">
        <v>82</v>
      </c>
      <c r="B6" s="10" t="s">
        <v>62</v>
      </c>
      <c r="C6" s="10" t="s">
        <v>83</v>
      </c>
    </row>
    <row r="7" spans="1:6" ht="15" customHeight="1">
      <c r="A7" s="10" t="s">
        <v>84</v>
      </c>
      <c r="B7" s="10" t="s">
        <v>85</v>
      </c>
      <c r="C7" s="10" t="s">
        <v>86</v>
      </c>
    </row>
    <row r="8" spans="1:6" ht="27.75" customHeight="1">
      <c r="A8" s="10" t="s">
        <v>87</v>
      </c>
      <c r="B8" s="10" t="s">
        <v>37</v>
      </c>
      <c r="C8" s="10" t="s">
        <v>88</v>
      </c>
    </row>
    <row r="9" spans="1:6" ht="41.25" customHeight="1">
      <c r="A9" s="10" t="s">
        <v>89</v>
      </c>
      <c r="B9" s="10" t="s">
        <v>27</v>
      </c>
      <c r="C9" s="10" t="s">
        <v>90</v>
      </c>
    </row>
    <row r="10" spans="1:6" ht="27.75" customHeight="1">
      <c r="A10" s="10" t="s">
        <v>91</v>
      </c>
      <c r="B10" s="10" t="s">
        <v>92</v>
      </c>
      <c r="C10" s="10" t="s">
        <v>93</v>
      </c>
    </row>
    <row r="11" spans="1:6" ht="27.75" customHeight="1">
      <c r="A11" s="10" t="s">
        <v>94</v>
      </c>
      <c r="B11" s="10" t="s">
        <v>8</v>
      </c>
      <c r="C11" s="10" t="s">
        <v>95</v>
      </c>
    </row>
    <row r="12" spans="1:6" ht="27.75" customHeight="1">
      <c r="A12" s="10" t="s">
        <v>96</v>
      </c>
      <c r="B12" s="10" t="s">
        <v>97</v>
      </c>
      <c r="C12" s="10" t="s">
        <v>98</v>
      </c>
    </row>
    <row r="13" spans="1:6" ht="27.75" customHeight="1">
      <c r="A13" s="10" t="s">
        <v>99</v>
      </c>
      <c r="B13" s="10" t="s">
        <v>100</v>
      </c>
      <c r="C13" s="10" t="s">
        <v>101</v>
      </c>
    </row>
    <row r="14" spans="1:6" ht="15" customHeight="1">
      <c r="A14" s="10" t="s">
        <v>102</v>
      </c>
      <c r="B14" s="10" t="s">
        <v>103</v>
      </c>
      <c r="C14" s="10" t="s">
        <v>104</v>
      </c>
    </row>
    <row r="15" spans="1:6" ht="27.75" customHeight="1">
      <c r="A15" s="10" t="s">
        <v>105</v>
      </c>
      <c r="B15" s="10" t="s">
        <v>106</v>
      </c>
      <c r="C15" s="10" t="s">
        <v>107</v>
      </c>
    </row>
    <row r="16" spans="1:6" ht="41.25" customHeight="1">
      <c r="A16" s="10" t="s">
        <v>108</v>
      </c>
      <c r="B16" s="10" t="s">
        <v>109</v>
      </c>
      <c r="C16" s="10" t="s">
        <v>110</v>
      </c>
    </row>
  </sheetData>
  <mergeCells count="1">
    <mergeCell ref="A1:F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Калькулятор</vt:lpstr>
      <vt:lpstr>Расчет комиссий</vt:lpstr>
      <vt:lpstr>Ежемесячный график</vt:lpstr>
      <vt:lpstr>Методика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FINFACTORY2</dc:creator>
  <dc:description/>
  <cp:lastModifiedBy>FINFACTORY2</cp:lastModifiedBy>
  <cp:revision>0</cp:revision>
  <dcterms:created xsi:type="dcterms:W3CDTF">2026-07-14T12:27:01Z</dcterms:created>
  <dcterms:modified xsi:type="dcterms:W3CDTF">2026-07-14T12:46:52Z</dcterms:modified>
  <dc:language>en-US</dc:language>
</cp:coreProperties>
</file>